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bschultz\Desktop\"/>
    </mc:Choice>
  </mc:AlternateContent>
  <xr:revisionPtr revIDLastSave="0" documentId="8_{2D30D56B-F231-4062-BF76-AA32B43EDFE4}" xr6:coauthVersionLast="47" xr6:coauthVersionMax="47" xr10:uidLastSave="{00000000-0000-0000-0000-000000000000}"/>
  <workbookProtection workbookAlgorithmName="SHA-512" workbookHashValue="gAcb9jd49Wi72IcH8bwagjKbbCYdLqNcUaVln4DIEWOdvpOTe1XcZF6jkEppHG6DBk29zynji7yoa1dD6kKDtw==" workbookSaltValue="p/vU18idE5S7OEUkhnO8lA==" workbookSpinCount="100000" lockStructure="1"/>
  <bookViews>
    <workbookView xWindow="-110" yWindow="-110" windowWidth="19420" windowHeight="10420" xr2:uid="{00000000-000D-0000-FFFF-FFFF00000000}"/>
  </bookViews>
  <sheets>
    <sheet name="Start here!" sheetId="2" r:id="rId1"/>
    <sheet name="General Info" sheetId="3" r:id="rId2"/>
    <sheet name="HerdFlow" sheetId="4" r:id="rId3"/>
    <sheet name="Summary" sheetId="5" r:id="rId4"/>
  </sheets>
  <externalReferences>
    <externalReference r:id="rId5"/>
    <externalReference r:id="rId6"/>
    <externalReference r:id="rId7"/>
  </externalReferences>
  <definedNames>
    <definedName name="Breeds">#REF!</definedName>
    <definedName name="Calving_mth">[1]Sheet2!$AA$3:$AA$14</definedName>
    <definedName name="CLASSES" localSheetId="2">HerdFlow!$B$6:$B$20</definedName>
    <definedName name="CLASSES" localSheetId="3">'[2]Herd Flow'!$B$10:$B$25</definedName>
    <definedName name="classes">[3]Summary!$B$4:$B$18</definedName>
    <definedName name="first_join">[1]Sheet2!$AB$3:$AB$4</definedName>
    <definedName name="Genotype">#REF!</definedName>
    <definedName name="Location">'General Info'!#REF!</definedName>
    <definedName name="months" localSheetId="3">'[2]Herd Flow'!$AZ$10:$AZ$21</definedName>
    <definedName name="months">HerdFlow!$AP$6:$AP$17</definedName>
    <definedName name="movements">[3]Summary!$V$6:$V$11</definedName>
    <definedName name="Period">[1]Sheet2!$AC$3:$AC$4</definedName>
    <definedName name="_xlnm.Print_Area" localSheetId="2">HerdFlow!$A$1:$N$23</definedName>
    <definedName name="_xlnm.Print_Area" localSheetId="3">Summary!$A$1:$N$78</definedName>
    <definedName name="Prod_zone">#REF!</definedName>
    <definedName name="Sex">#REF!</definedName>
    <definedName name="SRW">#REF!</definedName>
    <definedName name="wng_age">[1]Sheet2!$Z$3:$Z$9</definedName>
    <definedName name="xfers">[3]Summary!$T$6:$T$12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4" l="1"/>
  <c r="H34" i="4"/>
  <c r="I34" i="4" s="1"/>
  <c r="H35" i="4"/>
  <c r="I35" i="4"/>
  <c r="J35" i="4"/>
  <c r="H36" i="4"/>
  <c r="I36" i="4"/>
  <c r="J36" i="4"/>
  <c r="N14" i="4" l="1"/>
  <c r="N15" i="4"/>
  <c r="N17" i="4"/>
  <c r="N18" i="4"/>
  <c r="N19" i="4"/>
  <c r="N13" i="4"/>
  <c r="N8" i="4"/>
  <c r="N9" i="4"/>
  <c r="N10" i="4"/>
  <c r="N7" i="4"/>
  <c r="I9" i="5" l="1"/>
  <c r="G6" i="5"/>
  <c r="G7" i="5"/>
  <c r="G8" i="5"/>
  <c r="G9" i="5"/>
  <c r="G12" i="5"/>
  <c r="G13" i="5"/>
  <c r="G14" i="5"/>
  <c r="G16" i="5"/>
  <c r="G17" i="5"/>
  <c r="G18" i="5"/>
  <c r="G21" i="4"/>
  <c r="E19" i="5" l="1"/>
  <c r="E18" i="5"/>
  <c r="E15" i="5"/>
  <c r="E14" i="5"/>
  <c r="E11" i="5"/>
  <c r="E10" i="5"/>
  <c r="E9" i="5"/>
  <c r="H6" i="5"/>
  <c r="H7" i="5"/>
  <c r="H8" i="5"/>
  <c r="H9" i="5"/>
  <c r="H10" i="5"/>
  <c r="H11" i="5"/>
  <c r="H12" i="5"/>
  <c r="H13" i="5"/>
  <c r="H14" i="5"/>
  <c r="H15" i="5"/>
  <c r="H16" i="5"/>
  <c r="H17" i="5"/>
  <c r="H18" i="5"/>
  <c r="H19" i="5"/>
  <c r="H5" i="5"/>
  <c r="I6" i="5"/>
  <c r="I7" i="5"/>
  <c r="I8" i="5"/>
  <c r="I10" i="5"/>
  <c r="I11" i="5"/>
  <c r="I12" i="5"/>
  <c r="I13" i="5"/>
  <c r="I14" i="5"/>
  <c r="I15" i="5"/>
  <c r="I16" i="5"/>
  <c r="I17" i="5"/>
  <c r="I18" i="5"/>
  <c r="I19" i="5"/>
  <c r="I5" i="5"/>
  <c r="L6" i="5"/>
  <c r="L7" i="5"/>
  <c r="L8" i="5"/>
  <c r="L9" i="5"/>
  <c r="L10" i="5"/>
  <c r="L11" i="5"/>
  <c r="L12" i="5"/>
  <c r="L13" i="5"/>
  <c r="L14" i="5"/>
  <c r="L15" i="5"/>
  <c r="L16" i="5"/>
  <c r="L17" i="5"/>
  <c r="L18" i="5"/>
  <c r="L19" i="5"/>
  <c r="L5" i="5"/>
  <c r="L4" i="5"/>
  <c r="P29" i="4"/>
  <c r="P28" i="4"/>
  <c r="J6" i="4"/>
  <c r="J5" i="5" s="1"/>
  <c r="F6" i="4"/>
  <c r="F5" i="5" s="1"/>
  <c r="B2" i="5" l="1"/>
  <c r="B2" i="4"/>
  <c r="C2" i="3"/>
  <c r="F5" i="3" l="1"/>
  <c r="K26" i="3"/>
  <c r="K25" i="3"/>
  <c r="K24" i="3"/>
  <c r="K23" i="3"/>
  <c r="T10" i="3" l="1"/>
  <c r="M23" i="3" l="1"/>
  <c r="M24" i="3"/>
  <c r="M25" i="3"/>
  <c r="M26" i="3"/>
  <c r="P42" i="4"/>
  <c r="J55" i="3"/>
  <c r="H55" i="3"/>
  <c r="J56" i="3"/>
  <c r="E8" i="3"/>
  <c r="O32" i="3" l="1"/>
  <c r="L46" i="3" s="1"/>
  <c r="O38" i="3"/>
  <c r="M54" i="3" s="1"/>
  <c r="L53" i="3" s="1"/>
  <c r="O37" i="3"/>
  <c r="M53" i="3" s="1"/>
  <c r="L52" i="3" s="1"/>
  <c r="O33" i="3"/>
  <c r="M48" i="3" s="1"/>
  <c r="L47" i="3" s="1"/>
  <c r="O36" i="3"/>
  <c r="M52" i="3" s="1"/>
  <c r="L51" i="3" s="1"/>
  <c r="O41" i="3"/>
  <c r="M58" i="3" s="1"/>
  <c r="L57" i="3" s="1"/>
  <c r="O40" i="3"/>
  <c r="M57" i="3" s="1"/>
  <c r="L56" i="3" s="1"/>
  <c r="O34" i="3"/>
  <c r="M49" i="3" s="1"/>
  <c r="L48" i="3" s="1"/>
  <c r="O39" i="3"/>
  <c r="M56" i="3" s="1"/>
  <c r="O35" i="3"/>
  <c r="M50" i="3" s="1"/>
  <c r="L49" i="3" s="1"/>
  <c r="H39" i="3"/>
  <c r="H32" i="3"/>
  <c r="K47" i="3" s="1"/>
  <c r="H40" i="3"/>
  <c r="K56" i="3" s="1"/>
  <c r="H38" i="3"/>
  <c r="K55" i="3" s="1"/>
  <c r="H31" i="3"/>
  <c r="H37" i="3"/>
  <c r="K53" i="3" s="1"/>
  <c r="H30" i="3"/>
  <c r="K46" i="3" s="1"/>
  <c r="H36" i="3"/>
  <c r="K52" i="3" s="1"/>
  <c r="H35" i="3"/>
  <c r="K51" i="3" s="1"/>
  <c r="H33" i="3"/>
  <c r="K48" i="3" s="1"/>
  <c r="H41" i="3"/>
  <c r="K57" i="3" s="1"/>
  <c r="H34" i="3"/>
  <c r="K49" i="3" s="1"/>
  <c r="P30" i="4"/>
  <c r="P34" i="4"/>
  <c r="P41" i="4" s="1"/>
  <c r="P43" i="4" s="1"/>
  <c r="C25" i="5" s="1"/>
  <c r="AJ10" i="4" l="1"/>
  <c r="AJ9" i="4"/>
  <c r="AJ8" i="4"/>
  <c r="AJ7" i="4"/>
  <c r="M47" i="3"/>
  <c r="M46" i="3"/>
  <c r="AI6" i="4"/>
  <c r="B5" i="5" l="1"/>
  <c r="B41" i="5" s="1"/>
  <c r="B61" i="5" s="1"/>
  <c r="D5" i="5"/>
  <c r="D6" i="5"/>
  <c r="D7" i="5"/>
  <c r="D8" i="5"/>
  <c r="D9" i="5"/>
  <c r="D10" i="5"/>
  <c r="D11" i="5"/>
  <c r="D12" i="5"/>
  <c r="D13" i="5"/>
  <c r="D14" i="5"/>
  <c r="D15" i="5"/>
  <c r="D16" i="5"/>
  <c r="D17" i="5"/>
  <c r="D18" i="5"/>
  <c r="D19" i="5"/>
  <c r="T6" i="4"/>
  <c r="D21" i="4"/>
  <c r="E21" i="4"/>
  <c r="H21" i="4"/>
  <c r="M21" i="4"/>
  <c r="H27" i="4"/>
  <c r="I27" i="4" s="1"/>
  <c r="J27" i="4"/>
  <c r="H28" i="4"/>
  <c r="I28" i="4" s="1"/>
  <c r="J28" i="4"/>
  <c r="H29" i="4"/>
  <c r="I29" i="4" s="1"/>
  <c r="J29" i="4"/>
  <c r="H30" i="4"/>
  <c r="I30" i="4" s="1"/>
  <c r="J30" i="4"/>
  <c r="H31" i="4"/>
  <c r="I31" i="4" s="1"/>
  <c r="J31" i="4"/>
  <c r="H32" i="4"/>
  <c r="I32" i="4" s="1"/>
  <c r="J32" i="4"/>
  <c r="H33" i="4"/>
  <c r="I33" i="4" s="1"/>
  <c r="J33" i="4"/>
  <c r="H37" i="4"/>
  <c r="I37" i="4"/>
  <c r="J37" i="4"/>
  <c r="H38" i="4"/>
  <c r="I38" i="4"/>
  <c r="J38" i="4"/>
  <c r="H39" i="4"/>
  <c r="I39" i="4"/>
  <c r="J39" i="4"/>
  <c r="H40" i="4"/>
  <c r="I40" i="4"/>
  <c r="J40" i="4"/>
  <c r="H41" i="4"/>
  <c r="I41" i="4"/>
  <c r="J41" i="4"/>
  <c r="H42" i="4"/>
  <c r="I42" i="4"/>
  <c r="J42" i="4"/>
  <c r="H43" i="4"/>
  <c r="I43" i="4"/>
  <c r="J43" i="4"/>
  <c r="H44" i="4"/>
  <c r="I44" i="4"/>
  <c r="J44" i="4"/>
  <c r="H45" i="4"/>
  <c r="I45" i="4"/>
  <c r="J45" i="4"/>
  <c r="H46" i="4"/>
  <c r="I46" i="4"/>
  <c r="J46" i="4"/>
  <c r="H47" i="4"/>
  <c r="I47" i="4"/>
  <c r="J47" i="4"/>
  <c r="H48" i="4"/>
  <c r="I48" i="4"/>
  <c r="J48" i="4"/>
  <c r="H49" i="4"/>
  <c r="I49" i="4"/>
  <c r="J49" i="4"/>
  <c r="H50" i="4"/>
  <c r="I50" i="4"/>
  <c r="J50" i="4"/>
  <c r="H51" i="4"/>
  <c r="I51" i="4"/>
  <c r="J51" i="4"/>
  <c r="H52" i="4"/>
  <c r="I52" i="4"/>
  <c r="J52" i="4"/>
  <c r="H53" i="4"/>
  <c r="I53" i="4"/>
  <c r="J53" i="4"/>
  <c r="H54" i="4"/>
  <c r="I54" i="4"/>
  <c r="J54" i="4"/>
  <c r="H55" i="4"/>
  <c r="I55" i="4"/>
  <c r="J55" i="4"/>
  <c r="H56" i="4"/>
  <c r="I56" i="4"/>
  <c r="J56" i="4"/>
  <c r="H57" i="4"/>
  <c r="I57" i="4"/>
  <c r="J57" i="4"/>
  <c r="H58" i="4"/>
  <c r="I58" i="4"/>
  <c r="J58" i="4"/>
  <c r="H59" i="4"/>
  <c r="I59" i="4"/>
  <c r="J59" i="4"/>
  <c r="H60" i="4"/>
  <c r="I60" i="4"/>
  <c r="J60" i="4"/>
  <c r="H61" i="4"/>
  <c r="I61" i="4"/>
  <c r="J61" i="4"/>
  <c r="H62" i="4"/>
  <c r="I62" i="4"/>
  <c r="J62" i="4"/>
  <c r="H63" i="4"/>
  <c r="I63" i="4"/>
  <c r="J63" i="4"/>
  <c r="H64" i="4"/>
  <c r="I64" i="4"/>
  <c r="J64" i="4"/>
  <c r="H65" i="4"/>
  <c r="I65" i="4"/>
  <c r="J65" i="4"/>
  <c r="H66" i="4"/>
  <c r="I66" i="4"/>
  <c r="J66" i="4"/>
  <c r="H67" i="4"/>
  <c r="I67" i="4"/>
  <c r="J67" i="4"/>
  <c r="H68" i="4"/>
  <c r="I68" i="4"/>
  <c r="J68" i="4"/>
  <c r="H69" i="4"/>
  <c r="I69" i="4"/>
  <c r="J69" i="4"/>
  <c r="H70" i="4"/>
  <c r="I70" i="4"/>
  <c r="J70" i="4"/>
  <c r="H71" i="4"/>
  <c r="I71" i="4"/>
  <c r="J71" i="4"/>
  <c r="H72" i="4"/>
  <c r="I72" i="4"/>
  <c r="J72" i="4"/>
  <c r="H73" i="4"/>
  <c r="I73" i="4"/>
  <c r="J73" i="4"/>
  <c r="H74" i="4"/>
  <c r="I74" i="4"/>
  <c r="J74" i="4"/>
  <c r="H75" i="4"/>
  <c r="I75" i="4"/>
  <c r="J75" i="4"/>
  <c r="H76" i="4"/>
  <c r="I76" i="4"/>
  <c r="J76" i="4"/>
  <c r="D77" i="4"/>
  <c r="E77" i="4" s="1"/>
  <c r="I81" i="4"/>
  <c r="J81" i="4"/>
  <c r="I82" i="4"/>
  <c r="J82" i="4"/>
  <c r="I83" i="4"/>
  <c r="J83" i="4"/>
  <c r="I84" i="4"/>
  <c r="J84" i="4"/>
  <c r="I85" i="4"/>
  <c r="J85" i="4"/>
  <c r="I86" i="4"/>
  <c r="J86" i="4"/>
  <c r="I87" i="4"/>
  <c r="J87" i="4"/>
  <c r="I88" i="4"/>
  <c r="J88" i="4"/>
  <c r="I89" i="4"/>
  <c r="J89" i="4"/>
  <c r="I90" i="4"/>
  <c r="J90" i="4"/>
  <c r="I91" i="4"/>
  <c r="J91" i="4"/>
  <c r="I92" i="4"/>
  <c r="J92" i="4"/>
  <c r="I93" i="4"/>
  <c r="J93" i="4"/>
  <c r="I94" i="4"/>
  <c r="J94" i="4"/>
  <c r="I95" i="4"/>
  <c r="J95" i="4"/>
  <c r="I96" i="4"/>
  <c r="J96" i="4"/>
  <c r="I97" i="4"/>
  <c r="J97" i="4"/>
  <c r="I98" i="4"/>
  <c r="J98" i="4"/>
  <c r="I99" i="4"/>
  <c r="J99" i="4"/>
  <c r="I100" i="4"/>
  <c r="J100" i="4"/>
  <c r="I101" i="4"/>
  <c r="J101" i="4"/>
  <c r="I102" i="4"/>
  <c r="J102" i="4"/>
  <c r="I103" i="4"/>
  <c r="J103" i="4"/>
  <c r="I104" i="4"/>
  <c r="J104" i="4"/>
  <c r="I105" i="4"/>
  <c r="J105" i="4"/>
  <c r="I106" i="4"/>
  <c r="J106" i="4"/>
  <c r="I107" i="4"/>
  <c r="J107" i="4"/>
  <c r="I108" i="4"/>
  <c r="J108" i="4"/>
  <c r="I109" i="4"/>
  <c r="J109" i="4"/>
  <c r="I110" i="4"/>
  <c r="J110" i="4"/>
  <c r="I111" i="4"/>
  <c r="J111" i="4"/>
  <c r="I112" i="4"/>
  <c r="J112" i="4"/>
  <c r="I113" i="4"/>
  <c r="J113" i="4"/>
  <c r="I114" i="4"/>
  <c r="J114" i="4"/>
  <c r="I115" i="4"/>
  <c r="J115" i="4"/>
  <c r="I116" i="4"/>
  <c r="J116" i="4"/>
  <c r="I117" i="4"/>
  <c r="J117" i="4"/>
  <c r="I118" i="4"/>
  <c r="J118" i="4"/>
  <c r="I119" i="4"/>
  <c r="J119" i="4"/>
  <c r="I120" i="4"/>
  <c r="J120" i="4"/>
  <c r="I121" i="4"/>
  <c r="J121" i="4"/>
  <c r="I122" i="4"/>
  <c r="J122" i="4"/>
  <c r="I123" i="4"/>
  <c r="J123" i="4"/>
  <c r="I124" i="4"/>
  <c r="J124" i="4"/>
  <c r="I125" i="4"/>
  <c r="J125" i="4"/>
  <c r="I126" i="4"/>
  <c r="J126" i="4"/>
  <c r="I127" i="4"/>
  <c r="J127" i="4"/>
  <c r="I128" i="4"/>
  <c r="J128" i="4"/>
  <c r="I129" i="4"/>
  <c r="J129" i="4"/>
  <c r="I130" i="4"/>
  <c r="J130" i="4"/>
  <c r="D131" i="4"/>
  <c r="E131" i="4" s="1"/>
  <c r="C5" i="5" l="1"/>
  <c r="B82" i="5"/>
  <c r="T74" i="4"/>
  <c r="T23" i="4"/>
  <c r="T91" i="4"/>
  <c r="T57" i="4"/>
  <c r="T40" i="4"/>
  <c r="K6" i="4"/>
  <c r="L6" i="4" s="1"/>
  <c r="K5" i="5" s="1"/>
  <c r="D20" i="5"/>
  <c r="C34" i="5" s="1"/>
  <c r="E20" i="5"/>
  <c r="J131" i="4"/>
  <c r="F32" i="5" s="1"/>
  <c r="I77" i="4"/>
  <c r="J77" i="4"/>
  <c r="F31" i="5" s="1"/>
  <c r="I131" i="4"/>
  <c r="D32" i="5" s="1"/>
  <c r="L20" i="5"/>
  <c r="C35" i="5" s="1"/>
  <c r="M5" i="5"/>
  <c r="C33" i="5" l="1"/>
  <c r="H131" i="4"/>
  <c r="G131" i="4" s="1"/>
  <c r="H77" i="4"/>
  <c r="G77" i="4" s="1"/>
  <c r="D31" i="5"/>
  <c r="O5" i="5" l="1"/>
  <c r="T14" i="3" l="1"/>
  <c r="T13" i="3"/>
  <c r="T12" i="3"/>
  <c r="H21" i="3" l="1"/>
  <c r="D12" i="3"/>
  <c r="H12" i="3" s="1"/>
  <c r="H22" i="3"/>
  <c r="H23" i="3"/>
  <c r="H24" i="3"/>
  <c r="H17" i="3"/>
  <c r="E83" i="2" s="1"/>
  <c r="H18" i="3"/>
  <c r="E84" i="2" s="1"/>
  <c r="N18" i="3"/>
  <c r="M18" i="3"/>
  <c r="H19" i="3"/>
  <c r="E85" i="2" s="1"/>
  <c r="N17" i="3"/>
  <c r="M17" i="3"/>
  <c r="H20" i="3"/>
  <c r="E86" i="2" s="1"/>
  <c r="N16" i="3"/>
  <c r="M16" i="3"/>
  <c r="H16" i="3"/>
  <c r="N15" i="3"/>
  <c r="M15" i="3"/>
  <c r="H11" i="3"/>
  <c r="E78" i="2" s="1"/>
  <c r="N14" i="3"/>
  <c r="M14" i="3"/>
  <c r="N13" i="3"/>
  <c r="M13" i="3"/>
  <c r="N12" i="3"/>
  <c r="M12" i="3"/>
  <c r="N11" i="3"/>
  <c r="M11" i="3"/>
  <c r="H15" i="3"/>
  <c r="E82" i="2" s="1"/>
  <c r="B8" i="3"/>
  <c r="B51" i="3" s="1"/>
  <c r="E79" i="2" l="1"/>
  <c r="J57" i="3"/>
  <c r="H56" i="3" s="1"/>
  <c r="C17" i="5" s="1"/>
  <c r="J58" i="3"/>
  <c r="H57" i="3" s="1"/>
  <c r="C18" i="5" s="1"/>
  <c r="J54" i="3"/>
  <c r="H53" i="3" s="1"/>
  <c r="C14" i="5" s="1"/>
  <c r="H46" i="3"/>
  <c r="J46" i="3"/>
  <c r="M6" i="5" s="1"/>
  <c r="G83" i="5" s="1"/>
  <c r="J50" i="3"/>
  <c r="H49" i="3" s="1"/>
  <c r="J53" i="3"/>
  <c r="J52" i="3"/>
  <c r="J51" i="3"/>
  <c r="M12" i="5" s="1"/>
  <c r="H51" i="3"/>
  <c r="J47" i="3"/>
  <c r="M7" i="5" s="1"/>
  <c r="M16" i="5"/>
  <c r="D4" i="5"/>
  <c r="C19" i="5"/>
  <c r="C15" i="5"/>
  <c r="M17" i="5"/>
  <c r="C10" i="5"/>
  <c r="F87" i="5"/>
  <c r="Z5" i="4"/>
  <c r="AJ18" i="4"/>
  <c r="Y5" i="4"/>
  <c r="AJ17" i="4"/>
  <c r="AF5" i="4"/>
  <c r="X5" i="4"/>
  <c r="AJ6" i="4"/>
  <c r="AE5" i="4"/>
  <c r="W5" i="4"/>
  <c r="AJ15" i="4"/>
  <c r="AD5" i="4"/>
  <c r="V5" i="4"/>
  <c r="AJ14" i="4"/>
  <c r="AC5" i="4"/>
  <c r="AJ13" i="4"/>
  <c r="AB5" i="4"/>
  <c r="AJ20" i="4"/>
  <c r="AA5" i="4"/>
  <c r="AJ19" i="4"/>
  <c r="D13" i="3"/>
  <c r="H13" i="3" s="1"/>
  <c r="E80" i="2" s="1"/>
  <c r="B59" i="3"/>
  <c r="E58" i="3" s="1"/>
  <c r="B20" i="4" s="1"/>
  <c r="B55" i="3"/>
  <c r="F54" i="3" s="1"/>
  <c r="C16" i="4" s="1"/>
  <c r="F50" i="3"/>
  <c r="C11" i="4" s="1"/>
  <c r="E50" i="3"/>
  <c r="B50" i="3"/>
  <c r="D14" i="3"/>
  <c r="H14" i="3" s="1"/>
  <c r="E81" i="2" s="1"/>
  <c r="B20" i="3" l="1"/>
  <c r="G84" i="5"/>
  <c r="AJ24" i="4"/>
  <c r="F20" i="4"/>
  <c r="F19" i="5" s="1"/>
  <c r="J20" i="4"/>
  <c r="J19" i="5" s="1"/>
  <c r="D87" i="5"/>
  <c r="G89" i="5"/>
  <c r="B13" i="3"/>
  <c r="B21" i="3"/>
  <c r="B17" i="3"/>
  <c r="B14" i="3"/>
  <c r="B11" i="3"/>
  <c r="B15" i="3"/>
  <c r="B24" i="3"/>
  <c r="B18" i="3"/>
  <c r="B22" i="3"/>
  <c r="B19" i="3"/>
  <c r="B23" i="3"/>
  <c r="D91" i="5"/>
  <c r="B12" i="3"/>
  <c r="B16" i="3"/>
  <c r="G82" i="5"/>
  <c r="M19" i="5"/>
  <c r="J48" i="3"/>
  <c r="J49" i="3"/>
  <c r="H48" i="3" s="1"/>
  <c r="C8" i="5" s="1"/>
  <c r="D85" i="5" s="1"/>
  <c r="M18" i="5"/>
  <c r="M10" i="5"/>
  <c r="G87" i="5" s="1"/>
  <c r="M15" i="5"/>
  <c r="G92" i="5" s="1"/>
  <c r="M14" i="5"/>
  <c r="G91" i="5" s="1"/>
  <c r="H52" i="3"/>
  <c r="C13" i="5" s="1"/>
  <c r="D90" i="5" s="1"/>
  <c r="M13" i="5"/>
  <c r="G90" i="5" s="1"/>
  <c r="C12" i="5"/>
  <c r="D89" i="5" s="1"/>
  <c r="C6" i="5"/>
  <c r="D83" i="5" s="1"/>
  <c r="C16" i="5"/>
  <c r="B12" i="4"/>
  <c r="B11" i="4"/>
  <c r="F11" i="4" s="1"/>
  <c r="F10" i="5" s="1"/>
  <c r="C12" i="4"/>
  <c r="T20" i="4"/>
  <c r="AA20" i="4" s="1"/>
  <c r="B19" i="5"/>
  <c r="AI20" i="4"/>
  <c r="C9" i="5"/>
  <c r="D86" i="5" s="1"/>
  <c r="AL16" i="4"/>
  <c r="F92" i="5"/>
  <c r="AL20" i="4"/>
  <c r="F96" i="5"/>
  <c r="AL11" i="4"/>
  <c r="C11" i="5"/>
  <c r="AK19" i="4"/>
  <c r="C95" i="5"/>
  <c r="AK20" i="4"/>
  <c r="C96" i="5"/>
  <c r="AK15" i="4"/>
  <c r="C91" i="5"/>
  <c r="AK16" i="4"/>
  <c r="C92" i="5"/>
  <c r="AK11" i="4"/>
  <c r="C87" i="5"/>
  <c r="AK10" i="4"/>
  <c r="C86" i="5"/>
  <c r="AA56" i="4"/>
  <c r="AA107" i="4"/>
  <c r="AA90" i="4"/>
  <c r="AA126" i="4"/>
  <c r="AA121" i="4"/>
  <c r="AA73" i="4"/>
  <c r="AA39" i="4"/>
  <c r="AA22" i="4"/>
  <c r="AA6" i="4"/>
  <c r="AA114" i="4"/>
  <c r="V90" i="4"/>
  <c r="V39" i="4"/>
  <c r="V114" i="4"/>
  <c r="V22" i="4"/>
  <c r="V121" i="4"/>
  <c r="V126" i="4"/>
  <c r="V107" i="4"/>
  <c r="V56" i="4"/>
  <c r="V73" i="4"/>
  <c r="V6" i="4"/>
  <c r="AF107" i="4"/>
  <c r="AF114" i="4"/>
  <c r="AF39" i="4"/>
  <c r="AF73" i="4"/>
  <c r="AF90" i="4"/>
  <c r="AF121" i="4"/>
  <c r="AF6" i="4"/>
  <c r="AF22" i="4"/>
  <c r="AF126" i="4"/>
  <c r="AF56" i="4"/>
  <c r="AD22" i="4"/>
  <c r="AD114" i="4"/>
  <c r="AD56" i="4"/>
  <c r="AD73" i="4"/>
  <c r="AD90" i="4"/>
  <c r="AD121" i="4"/>
  <c r="AD126" i="4"/>
  <c r="AD107" i="4"/>
  <c r="AD6" i="4"/>
  <c r="AD39" i="4"/>
  <c r="AB56" i="4"/>
  <c r="AB107" i="4"/>
  <c r="AB90" i="4"/>
  <c r="AB126" i="4"/>
  <c r="AB121" i="4"/>
  <c r="AB114" i="4"/>
  <c r="AB39" i="4"/>
  <c r="AB6" i="4"/>
  <c r="AB73" i="4"/>
  <c r="AB22" i="4"/>
  <c r="W39" i="4"/>
  <c r="W56" i="4"/>
  <c r="W6" i="4"/>
  <c r="W107" i="4"/>
  <c r="W114" i="4"/>
  <c r="W126" i="4"/>
  <c r="W73" i="4"/>
  <c r="W90" i="4"/>
  <c r="W121" i="4"/>
  <c r="W22" i="4"/>
  <c r="Y126" i="4"/>
  <c r="Y107" i="4"/>
  <c r="Y56" i="4"/>
  <c r="Y114" i="4"/>
  <c r="Y90" i="4"/>
  <c r="Y73" i="4"/>
  <c r="Y121" i="4"/>
  <c r="Y39" i="4"/>
  <c r="Y22" i="4"/>
  <c r="Y6" i="4"/>
  <c r="AE107" i="4"/>
  <c r="AE6" i="4"/>
  <c r="AE39" i="4"/>
  <c r="AE114" i="4"/>
  <c r="AE121" i="4"/>
  <c r="AE73" i="4"/>
  <c r="AE126" i="4"/>
  <c r="AE56" i="4"/>
  <c r="AE22" i="4"/>
  <c r="AE90" i="4"/>
  <c r="U5" i="4"/>
  <c r="AC22" i="4"/>
  <c r="AC73" i="4"/>
  <c r="AC56" i="4"/>
  <c r="AC6" i="4"/>
  <c r="AC90" i="4"/>
  <c r="AC39" i="4"/>
  <c r="AC126" i="4"/>
  <c r="AC121" i="4"/>
  <c r="AC107" i="4"/>
  <c r="AC114" i="4"/>
  <c r="Z56" i="4"/>
  <c r="Z121" i="4"/>
  <c r="Z107" i="4"/>
  <c r="Z90" i="4"/>
  <c r="Z22" i="4"/>
  <c r="Z39" i="4"/>
  <c r="Z6" i="4"/>
  <c r="Z73" i="4"/>
  <c r="Z126" i="4"/>
  <c r="Z114" i="4"/>
  <c r="X114" i="4"/>
  <c r="X121" i="4"/>
  <c r="X90" i="4"/>
  <c r="X126" i="4"/>
  <c r="X22" i="4"/>
  <c r="X39" i="4"/>
  <c r="X73" i="4"/>
  <c r="X6" i="4"/>
  <c r="X107" i="4"/>
  <c r="X56" i="4"/>
  <c r="F58" i="3"/>
  <c r="C20" i="4" s="1"/>
  <c r="B58" i="3"/>
  <c r="F57" i="3" s="1"/>
  <c r="C19" i="4" s="1"/>
  <c r="B54" i="3"/>
  <c r="E54" i="3"/>
  <c r="B16" i="4" s="1"/>
  <c r="F49" i="3"/>
  <c r="C10" i="4" s="1"/>
  <c r="E49" i="3"/>
  <c r="B10" i="4" s="1"/>
  <c r="B49" i="3"/>
  <c r="F10" i="4" l="1"/>
  <c r="F9" i="5" s="1"/>
  <c r="J10" i="4"/>
  <c r="J9" i="5" s="1"/>
  <c r="J16" i="4"/>
  <c r="J15" i="5" s="1"/>
  <c r="F16" i="4"/>
  <c r="F15" i="5" s="1"/>
  <c r="J11" i="4"/>
  <c r="J10" i="5" s="1"/>
  <c r="F12" i="4"/>
  <c r="F11" i="5" s="1"/>
  <c r="J12" i="4"/>
  <c r="J11" i="5" s="1"/>
  <c r="G25" i="3"/>
  <c r="AB20" i="4"/>
  <c r="AE20" i="4"/>
  <c r="M9" i="5"/>
  <c r="G86" i="5" s="1"/>
  <c r="E87" i="5"/>
  <c r="D93" i="5"/>
  <c r="E86" i="5"/>
  <c r="X20" i="4"/>
  <c r="D94" i="5"/>
  <c r="Z20" i="4"/>
  <c r="D95" i="5"/>
  <c r="E95" i="5" s="1"/>
  <c r="D92" i="5"/>
  <c r="D96" i="5" s="1"/>
  <c r="E96" i="5" s="1"/>
  <c r="D82" i="5"/>
  <c r="AF20" i="4"/>
  <c r="W20" i="4"/>
  <c r="AC20" i="4"/>
  <c r="M8" i="5"/>
  <c r="G85" i="5" s="1"/>
  <c r="H47" i="3"/>
  <c r="C7" i="5" s="1"/>
  <c r="D84" i="5" s="1"/>
  <c r="Y20" i="4"/>
  <c r="V20" i="4"/>
  <c r="AD20" i="4"/>
  <c r="G96" i="5"/>
  <c r="H96" i="5" s="1"/>
  <c r="G93" i="5"/>
  <c r="T54" i="4"/>
  <c r="Z54" i="4" s="1"/>
  <c r="T71" i="4"/>
  <c r="AC71" i="4" s="1"/>
  <c r="T37" i="4"/>
  <c r="AC37" i="4" s="1"/>
  <c r="T88" i="4"/>
  <c r="Y88" i="4" s="1"/>
  <c r="T105" i="4"/>
  <c r="AC105" i="4" s="1"/>
  <c r="H87" i="5"/>
  <c r="G94" i="5"/>
  <c r="G95" i="5"/>
  <c r="B55" i="5"/>
  <c r="B75" i="5" s="1"/>
  <c r="B96" i="5"/>
  <c r="AI11" i="4"/>
  <c r="T11" i="4"/>
  <c r="U11" i="4" s="1"/>
  <c r="B10" i="5"/>
  <c r="T10" i="4"/>
  <c r="U10" i="4" s="1"/>
  <c r="AI10" i="4"/>
  <c r="B9" i="5"/>
  <c r="AI12" i="4"/>
  <c r="T12" i="4"/>
  <c r="U12" i="4" s="1"/>
  <c r="B11" i="5"/>
  <c r="B47" i="5" s="1"/>
  <c r="B67" i="5" s="1"/>
  <c r="T16" i="4"/>
  <c r="U16" i="4" s="1"/>
  <c r="AI16" i="4"/>
  <c r="B15" i="5"/>
  <c r="K20" i="4"/>
  <c r="L20" i="4" s="1"/>
  <c r="K19" i="5" s="1"/>
  <c r="AL12" i="4"/>
  <c r="AK12" i="4"/>
  <c r="Z57" i="4"/>
  <c r="AC23" i="4"/>
  <c r="Y74" i="4"/>
  <c r="W23" i="4"/>
  <c r="AD40" i="4"/>
  <c r="Z40" i="4"/>
  <c r="AE91" i="4"/>
  <c r="Y91" i="4"/>
  <c r="AB23" i="4"/>
  <c r="AD91" i="4"/>
  <c r="AF91" i="4"/>
  <c r="AC40" i="4"/>
  <c r="AE23" i="4"/>
  <c r="AE40" i="4"/>
  <c r="AB74" i="4"/>
  <c r="AB91" i="4"/>
  <c r="AD74" i="4"/>
  <c r="AF74" i="4"/>
  <c r="X74" i="4"/>
  <c r="Z23" i="4"/>
  <c r="AE57" i="4"/>
  <c r="Y23" i="4"/>
  <c r="Y57" i="4"/>
  <c r="W91" i="4"/>
  <c r="AD57" i="4"/>
  <c r="AD23" i="4"/>
  <c r="AF57" i="4"/>
  <c r="V23" i="4"/>
  <c r="AA91" i="4"/>
  <c r="X91" i="4"/>
  <c r="Z91" i="4"/>
  <c r="AC91" i="4"/>
  <c r="Y40" i="4"/>
  <c r="W74" i="4"/>
  <c r="W57" i="4"/>
  <c r="AF40" i="4"/>
  <c r="AA23" i="4"/>
  <c r="W40" i="4"/>
  <c r="AB40" i="4"/>
  <c r="AB57" i="4"/>
  <c r="V74" i="4"/>
  <c r="AA40" i="4"/>
  <c r="X57" i="4"/>
  <c r="X40" i="4"/>
  <c r="X23" i="4"/>
  <c r="AC57" i="4"/>
  <c r="U56" i="4"/>
  <c r="U73" i="4"/>
  <c r="U22" i="4"/>
  <c r="U107" i="4"/>
  <c r="U6" i="4"/>
  <c r="C41" i="5" s="1"/>
  <c r="U121" i="4"/>
  <c r="U20" i="4"/>
  <c r="U39" i="4"/>
  <c r="U126" i="4"/>
  <c r="U114" i="4"/>
  <c r="U90" i="4"/>
  <c r="AE74" i="4"/>
  <c r="AF23" i="4"/>
  <c r="V57" i="4"/>
  <c r="V40" i="4"/>
  <c r="AA74" i="4"/>
  <c r="Z74" i="4"/>
  <c r="AC74" i="4"/>
  <c r="V91" i="4"/>
  <c r="AA57" i="4"/>
  <c r="B57" i="3"/>
  <c r="B56" i="3" s="1"/>
  <c r="E55" i="3" s="1"/>
  <c r="B17" i="4" s="1"/>
  <c r="E57" i="3"/>
  <c r="B19" i="4" s="1"/>
  <c r="F53" i="3"/>
  <c r="C15" i="4" s="1"/>
  <c r="E53" i="3"/>
  <c r="B15" i="4" s="1"/>
  <c r="B53" i="3"/>
  <c r="B48" i="3"/>
  <c r="F48" i="3"/>
  <c r="C9" i="4" s="1"/>
  <c r="E48" i="3"/>
  <c r="B9" i="4" s="1"/>
  <c r="J9" i="4" l="1"/>
  <c r="J8" i="5" s="1"/>
  <c r="F9" i="4"/>
  <c r="F8" i="5" s="1"/>
  <c r="J15" i="4"/>
  <c r="J14" i="5" s="1"/>
  <c r="F15" i="4"/>
  <c r="F14" i="5" s="1"/>
  <c r="F19" i="4"/>
  <c r="F18" i="5" s="1"/>
  <c r="J19" i="4"/>
  <c r="J18" i="5" s="1"/>
  <c r="J17" i="4"/>
  <c r="J16" i="5" s="1"/>
  <c r="F17" i="4"/>
  <c r="F16" i="5" s="1"/>
  <c r="X88" i="4"/>
  <c r="V88" i="4"/>
  <c r="W88" i="4"/>
  <c r="AA88" i="4"/>
  <c r="AC88" i="4"/>
  <c r="AE88" i="4"/>
  <c r="Z88" i="4"/>
  <c r="AD88" i="4"/>
  <c r="AE54" i="4"/>
  <c r="W105" i="4"/>
  <c r="V105" i="4"/>
  <c r="AD105" i="4"/>
  <c r="Y54" i="4"/>
  <c r="X37" i="4"/>
  <c r="Y37" i="4"/>
  <c r="AF37" i="4"/>
  <c r="W54" i="4"/>
  <c r="AA54" i="4"/>
  <c r="AF54" i="4"/>
  <c r="AD54" i="4"/>
  <c r="V54" i="4"/>
  <c r="X54" i="4"/>
  <c r="AB54" i="4"/>
  <c r="C55" i="5"/>
  <c r="F55" i="5" s="1"/>
  <c r="AF88" i="4"/>
  <c r="AD37" i="4"/>
  <c r="AA37" i="4"/>
  <c r="AB88" i="4"/>
  <c r="Z105" i="4"/>
  <c r="AE37" i="4"/>
  <c r="AB37" i="4"/>
  <c r="Z37" i="4"/>
  <c r="AB105" i="4"/>
  <c r="AC54" i="4"/>
  <c r="Y105" i="4"/>
  <c r="W37" i="4"/>
  <c r="X105" i="4"/>
  <c r="AA105" i="4"/>
  <c r="AF105" i="4"/>
  <c r="AE105" i="4"/>
  <c r="V37" i="4"/>
  <c r="E91" i="5"/>
  <c r="H92" i="5"/>
  <c r="AE71" i="4"/>
  <c r="Z71" i="4"/>
  <c r="V71" i="4"/>
  <c r="AD71" i="4"/>
  <c r="AB71" i="4"/>
  <c r="AA71" i="4"/>
  <c r="X71" i="4"/>
  <c r="W71" i="4"/>
  <c r="AF71" i="4"/>
  <c r="Y71" i="4"/>
  <c r="AI15" i="4"/>
  <c r="B14" i="5"/>
  <c r="T15" i="4"/>
  <c r="B18" i="5"/>
  <c r="AI19" i="4"/>
  <c r="T19" i="4"/>
  <c r="AI9" i="4"/>
  <c r="T9" i="4"/>
  <c r="B8" i="5"/>
  <c r="AI17" i="4"/>
  <c r="B16" i="5"/>
  <c r="T17" i="4"/>
  <c r="T67" i="4"/>
  <c r="U67" i="4" s="1"/>
  <c r="T84" i="4"/>
  <c r="U84" i="4" s="1"/>
  <c r="T101" i="4"/>
  <c r="U101" i="4" s="1"/>
  <c r="T33" i="4"/>
  <c r="U33" i="4" s="1"/>
  <c r="T50" i="4"/>
  <c r="U50" i="4" s="1"/>
  <c r="AE16" i="4"/>
  <c r="V16" i="4"/>
  <c r="AF16" i="4"/>
  <c r="AB16" i="4"/>
  <c r="W16" i="4"/>
  <c r="Y16" i="4"/>
  <c r="AC16" i="4"/>
  <c r="Z16" i="4"/>
  <c r="X16" i="4"/>
  <c r="AA16" i="4"/>
  <c r="AD16" i="4"/>
  <c r="B86" i="5"/>
  <c r="B45" i="5"/>
  <c r="B65" i="5" s="1"/>
  <c r="T45" i="4"/>
  <c r="U45" i="4" s="1"/>
  <c r="T62" i="4"/>
  <c r="U62" i="4" s="1"/>
  <c r="T28" i="4"/>
  <c r="U28" i="4" s="1"/>
  <c r="T96" i="4"/>
  <c r="U96" i="4" s="1"/>
  <c r="T79" i="4"/>
  <c r="U79" i="4" s="1"/>
  <c r="AD11" i="4"/>
  <c r="AB11" i="4"/>
  <c r="W11" i="4"/>
  <c r="V11" i="4"/>
  <c r="AE11" i="4"/>
  <c r="X11" i="4"/>
  <c r="AF11" i="4"/>
  <c r="AA11" i="4"/>
  <c r="AC11" i="4"/>
  <c r="Y11" i="4"/>
  <c r="Z11" i="4"/>
  <c r="K10" i="4"/>
  <c r="L10" i="4" s="1"/>
  <c r="K9" i="5" s="1"/>
  <c r="T29" i="4"/>
  <c r="U29" i="4" s="1"/>
  <c r="T80" i="4"/>
  <c r="U80" i="4" s="1"/>
  <c r="T46" i="4"/>
  <c r="U46" i="4" s="1"/>
  <c r="T97" i="4"/>
  <c r="U97" i="4" s="1"/>
  <c r="T63" i="4"/>
  <c r="U63" i="4" s="1"/>
  <c r="AB12" i="4"/>
  <c r="AE12" i="4"/>
  <c r="AC12" i="4"/>
  <c r="AA12" i="4"/>
  <c r="X12" i="4"/>
  <c r="AF12" i="4"/>
  <c r="AD12" i="4"/>
  <c r="W12" i="4"/>
  <c r="V12" i="4"/>
  <c r="Y12" i="4"/>
  <c r="Z12" i="4"/>
  <c r="K11" i="4"/>
  <c r="L11" i="4" s="1"/>
  <c r="K10" i="5" s="1"/>
  <c r="B92" i="5"/>
  <c r="B51" i="5"/>
  <c r="B71" i="5" s="1"/>
  <c r="K12" i="4"/>
  <c r="L12" i="4" s="1"/>
  <c r="K11" i="5" s="1"/>
  <c r="T44" i="4"/>
  <c r="U44" i="4" s="1"/>
  <c r="T95" i="4"/>
  <c r="U95" i="4" s="1"/>
  <c r="T61" i="4"/>
  <c r="U61" i="4" s="1"/>
  <c r="T78" i="4"/>
  <c r="U78" i="4" s="1"/>
  <c r="T27" i="4"/>
  <c r="U27" i="4" s="1"/>
  <c r="AF10" i="4"/>
  <c r="W10" i="4"/>
  <c r="AB10" i="4"/>
  <c r="Z10" i="4"/>
  <c r="AA10" i="4"/>
  <c r="AE10" i="4"/>
  <c r="AC10" i="4"/>
  <c r="X10" i="4"/>
  <c r="V10" i="4"/>
  <c r="AD10" i="4"/>
  <c r="Y10" i="4"/>
  <c r="K16" i="4"/>
  <c r="L16" i="4" s="1"/>
  <c r="K15" i="5" s="1"/>
  <c r="B87" i="5"/>
  <c r="B46" i="5"/>
  <c r="B66" i="5" s="1"/>
  <c r="E92" i="5"/>
  <c r="F41" i="5"/>
  <c r="D41" i="5"/>
  <c r="E41" i="5"/>
  <c r="AF133" i="4"/>
  <c r="AJ23" i="4"/>
  <c r="U57" i="4"/>
  <c r="U71" i="4"/>
  <c r="U105" i="4"/>
  <c r="U91" i="4"/>
  <c r="U40" i="4"/>
  <c r="U54" i="4"/>
  <c r="U23" i="4"/>
  <c r="U37" i="4"/>
  <c r="U74" i="4"/>
  <c r="U88" i="4"/>
  <c r="F56" i="3"/>
  <c r="C18" i="4" s="1"/>
  <c r="E56" i="3"/>
  <c r="B18" i="4" s="1"/>
  <c r="B52" i="3"/>
  <c r="E51" i="3" s="1"/>
  <c r="B13" i="4" s="1"/>
  <c r="E52" i="3"/>
  <c r="B14" i="4" s="1"/>
  <c r="F52" i="3"/>
  <c r="C14" i="4" s="1"/>
  <c r="B47" i="3"/>
  <c r="E46" i="3" s="1"/>
  <c r="B7" i="4" s="1"/>
  <c r="F47" i="3"/>
  <c r="C8" i="4" s="1"/>
  <c r="E47" i="3"/>
  <c r="B8" i="4" s="1"/>
  <c r="T132" i="4" l="1"/>
  <c r="J14" i="4"/>
  <c r="J13" i="5" s="1"/>
  <c r="F14" i="4"/>
  <c r="F13" i="5" s="1"/>
  <c r="F13" i="4"/>
  <c r="F12" i="5" s="1"/>
  <c r="J13" i="4"/>
  <c r="J12" i="5" s="1"/>
  <c r="F18" i="4"/>
  <c r="F17" i="5" s="1"/>
  <c r="J18" i="4"/>
  <c r="J17" i="5" s="1"/>
  <c r="F8" i="4"/>
  <c r="F7" i="5" s="1"/>
  <c r="J8" i="4"/>
  <c r="J7" i="5" s="1"/>
  <c r="J7" i="4"/>
  <c r="J6" i="5" s="1"/>
  <c r="F7" i="4"/>
  <c r="F6" i="5" s="1"/>
  <c r="K9" i="4"/>
  <c r="L9" i="4" s="1"/>
  <c r="K8" i="5" s="1"/>
  <c r="D55" i="5"/>
  <c r="E55" i="5"/>
  <c r="C75" i="5"/>
  <c r="E75" i="5" s="1"/>
  <c r="O19" i="5"/>
  <c r="C46" i="5"/>
  <c r="D46" i="5" s="1"/>
  <c r="C47" i="5"/>
  <c r="D47" i="5" s="1"/>
  <c r="C45" i="5"/>
  <c r="F45" i="5" s="1"/>
  <c r="C51" i="5"/>
  <c r="D51" i="5" s="1"/>
  <c r="AE62" i="4"/>
  <c r="AF62" i="4"/>
  <c r="AB62" i="4"/>
  <c r="AC62" i="4"/>
  <c r="W62" i="4"/>
  <c r="Z62" i="4"/>
  <c r="Y62" i="4"/>
  <c r="AD62" i="4"/>
  <c r="X62" i="4"/>
  <c r="V62" i="4"/>
  <c r="AA62" i="4"/>
  <c r="AB33" i="4"/>
  <c r="AE33" i="4"/>
  <c r="AC33" i="4"/>
  <c r="AD33" i="4"/>
  <c r="Z33" i="4"/>
  <c r="Y33" i="4"/>
  <c r="V33" i="4"/>
  <c r="AA33" i="4"/>
  <c r="W33" i="4"/>
  <c r="X33" i="4"/>
  <c r="AF33" i="4"/>
  <c r="T32" i="4"/>
  <c r="T83" i="4"/>
  <c r="T49" i="4"/>
  <c r="T66" i="4"/>
  <c r="T100" i="4"/>
  <c r="AA15" i="4"/>
  <c r="AB15" i="4"/>
  <c r="W15" i="4"/>
  <c r="AC15" i="4"/>
  <c r="AD15" i="4"/>
  <c r="Y15" i="4"/>
  <c r="AF15" i="4"/>
  <c r="X15" i="4"/>
  <c r="V15" i="4"/>
  <c r="AE15" i="4"/>
  <c r="Z15" i="4"/>
  <c r="U15" i="4"/>
  <c r="B6" i="5"/>
  <c r="AI7" i="4"/>
  <c r="T7" i="4"/>
  <c r="Z27" i="4"/>
  <c r="AA27" i="4"/>
  <c r="AE27" i="4"/>
  <c r="Y27" i="4"/>
  <c r="W27" i="4"/>
  <c r="AB27" i="4"/>
  <c r="X27" i="4"/>
  <c r="V27" i="4"/>
  <c r="AC27" i="4"/>
  <c r="AD27" i="4"/>
  <c r="AF27" i="4"/>
  <c r="AD45" i="4"/>
  <c r="Z45" i="4"/>
  <c r="W45" i="4"/>
  <c r="Y45" i="4"/>
  <c r="AA45" i="4"/>
  <c r="AC45" i="4"/>
  <c r="AE45" i="4"/>
  <c r="AF45" i="4"/>
  <c r="AB45" i="4"/>
  <c r="V45" i="4"/>
  <c r="X45" i="4"/>
  <c r="AD101" i="4"/>
  <c r="AB101" i="4"/>
  <c r="Y101" i="4"/>
  <c r="X101" i="4"/>
  <c r="AE101" i="4"/>
  <c r="AA101" i="4"/>
  <c r="AC101" i="4"/>
  <c r="AF101" i="4"/>
  <c r="W101" i="4"/>
  <c r="Z101" i="4"/>
  <c r="V101" i="4"/>
  <c r="B91" i="5"/>
  <c r="B50" i="5"/>
  <c r="B70" i="5" s="1"/>
  <c r="X78" i="4"/>
  <c r="W78" i="4"/>
  <c r="Y78" i="4"/>
  <c r="AD78" i="4"/>
  <c r="AB78" i="4"/>
  <c r="AF78" i="4"/>
  <c r="V78" i="4"/>
  <c r="AC78" i="4"/>
  <c r="AE78" i="4"/>
  <c r="AA78" i="4"/>
  <c r="Z78" i="4"/>
  <c r="Y63" i="4"/>
  <c r="AD63" i="4"/>
  <c r="AB63" i="4"/>
  <c r="W63" i="4"/>
  <c r="X63" i="4"/>
  <c r="Z63" i="4"/>
  <c r="AE63" i="4"/>
  <c r="AF63" i="4"/>
  <c r="AA63" i="4"/>
  <c r="AC63" i="4"/>
  <c r="V63" i="4"/>
  <c r="AF84" i="4"/>
  <c r="X84" i="4"/>
  <c r="AD84" i="4"/>
  <c r="W84" i="4"/>
  <c r="Y84" i="4"/>
  <c r="AB84" i="4"/>
  <c r="Z84" i="4"/>
  <c r="AA84" i="4"/>
  <c r="AC84" i="4"/>
  <c r="V84" i="4"/>
  <c r="AE84" i="4"/>
  <c r="K19" i="4"/>
  <c r="L19" i="4" s="1"/>
  <c r="K18" i="5" s="1"/>
  <c r="B13" i="5"/>
  <c r="AI14" i="4"/>
  <c r="T14" i="4"/>
  <c r="Z61" i="4"/>
  <c r="AE61" i="4"/>
  <c r="Y61" i="4"/>
  <c r="AB61" i="4"/>
  <c r="AA61" i="4"/>
  <c r="W61" i="4"/>
  <c r="AF61" i="4"/>
  <c r="V61" i="4"/>
  <c r="AD61" i="4"/>
  <c r="AC61" i="4"/>
  <c r="X61" i="4"/>
  <c r="Y97" i="4"/>
  <c r="AE97" i="4"/>
  <c r="AC97" i="4"/>
  <c r="AB97" i="4"/>
  <c r="X97" i="4"/>
  <c r="AF97" i="4"/>
  <c r="W97" i="4"/>
  <c r="Z97" i="4"/>
  <c r="AD97" i="4"/>
  <c r="V97" i="4"/>
  <c r="AA97" i="4"/>
  <c r="AB67" i="4"/>
  <c r="AD67" i="4"/>
  <c r="AF67" i="4"/>
  <c r="Y67" i="4"/>
  <c r="AC67" i="4"/>
  <c r="Z67" i="4"/>
  <c r="W67" i="4"/>
  <c r="AE67" i="4"/>
  <c r="V67" i="4"/>
  <c r="AA67" i="4"/>
  <c r="X67" i="4"/>
  <c r="B17" i="5"/>
  <c r="T18" i="4"/>
  <c r="AI18" i="4"/>
  <c r="T13" i="4"/>
  <c r="B12" i="5"/>
  <c r="AI13" i="4"/>
  <c r="AB95" i="4"/>
  <c r="AF95" i="4"/>
  <c r="Z95" i="4"/>
  <c r="X95" i="4"/>
  <c r="AE95" i="4"/>
  <c r="AD95" i="4"/>
  <c r="AA95" i="4"/>
  <c r="Y95" i="4"/>
  <c r="AC95" i="4"/>
  <c r="V95" i="4"/>
  <c r="W95" i="4"/>
  <c r="AD46" i="4"/>
  <c r="AF46" i="4"/>
  <c r="AA46" i="4"/>
  <c r="AC46" i="4"/>
  <c r="Y46" i="4"/>
  <c r="Z46" i="4"/>
  <c r="AE46" i="4"/>
  <c r="AB46" i="4"/>
  <c r="W46" i="4"/>
  <c r="V46" i="4"/>
  <c r="X46" i="4"/>
  <c r="B85" i="5"/>
  <c r="B44" i="5"/>
  <c r="B64" i="5" s="1"/>
  <c r="T36" i="4"/>
  <c r="T87" i="4"/>
  <c r="T70" i="4"/>
  <c r="T104" i="4"/>
  <c r="T53" i="4"/>
  <c r="X19" i="4"/>
  <c r="AA19" i="4"/>
  <c r="V19" i="4"/>
  <c r="Z19" i="4"/>
  <c r="AD19" i="4"/>
  <c r="AB19" i="4"/>
  <c r="AF19" i="4"/>
  <c r="Y19" i="4"/>
  <c r="AE19" i="4"/>
  <c r="W19" i="4"/>
  <c r="AC19" i="4"/>
  <c r="U19" i="4"/>
  <c r="O15" i="5"/>
  <c r="AE44" i="4"/>
  <c r="AA44" i="4"/>
  <c r="Z44" i="4"/>
  <c r="W44" i="4"/>
  <c r="AB44" i="4"/>
  <c r="AC44" i="4"/>
  <c r="X44" i="4"/>
  <c r="AD44" i="4"/>
  <c r="Y44" i="4"/>
  <c r="AF44" i="4"/>
  <c r="V44" i="4"/>
  <c r="Y80" i="4"/>
  <c r="AD80" i="4"/>
  <c r="AB80" i="4"/>
  <c r="AF80" i="4"/>
  <c r="X80" i="4"/>
  <c r="W80" i="4"/>
  <c r="V80" i="4"/>
  <c r="AE80" i="4"/>
  <c r="Z80" i="4"/>
  <c r="AC80" i="4"/>
  <c r="AA80" i="4"/>
  <c r="Y79" i="4"/>
  <c r="AF79" i="4"/>
  <c r="AB79" i="4"/>
  <c r="AD79" i="4"/>
  <c r="X79" i="4"/>
  <c r="W79" i="4"/>
  <c r="V79" i="4"/>
  <c r="AE79" i="4"/>
  <c r="Z79" i="4"/>
  <c r="AC79" i="4"/>
  <c r="AA79" i="4"/>
  <c r="T85" i="4"/>
  <c r="T68" i="4"/>
  <c r="T34" i="4"/>
  <c r="T51" i="4"/>
  <c r="T102" i="4"/>
  <c r="AC17" i="4"/>
  <c r="Z17" i="4"/>
  <c r="AD17" i="4"/>
  <c r="Y17" i="4"/>
  <c r="AA17" i="4"/>
  <c r="V17" i="4"/>
  <c r="AB17" i="4"/>
  <c r="W17" i="4"/>
  <c r="AE17" i="4"/>
  <c r="AF17" i="4"/>
  <c r="X17" i="4"/>
  <c r="U17" i="4"/>
  <c r="T43" i="4"/>
  <c r="T94" i="4"/>
  <c r="T26" i="4"/>
  <c r="T77" i="4"/>
  <c r="T60" i="4"/>
  <c r="V9" i="4"/>
  <c r="Z9" i="4"/>
  <c r="AA9" i="4"/>
  <c r="X9" i="4"/>
  <c r="AD9" i="4"/>
  <c r="AC9" i="4"/>
  <c r="Y9" i="4"/>
  <c r="AF9" i="4"/>
  <c r="AB9" i="4"/>
  <c r="W9" i="4"/>
  <c r="AE9" i="4"/>
  <c r="U9" i="4"/>
  <c r="AD29" i="4"/>
  <c r="W29" i="4"/>
  <c r="AA29" i="4"/>
  <c r="X29" i="4"/>
  <c r="AC29" i="4"/>
  <c r="Z29" i="4"/>
  <c r="AB29" i="4"/>
  <c r="Y29" i="4"/>
  <c r="AE29" i="4"/>
  <c r="V29" i="4"/>
  <c r="AF29" i="4"/>
  <c r="W96" i="4"/>
  <c r="X96" i="4"/>
  <c r="AE96" i="4"/>
  <c r="Y96" i="4"/>
  <c r="AF96" i="4"/>
  <c r="AD96" i="4"/>
  <c r="AB96" i="4"/>
  <c r="AA96" i="4"/>
  <c r="AC96" i="4"/>
  <c r="V96" i="4"/>
  <c r="Z96" i="4"/>
  <c r="K17" i="4"/>
  <c r="L17" i="4" s="1"/>
  <c r="K16" i="5" s="1"/>
  <c r="B95" i="5"/>
  <c r="B54" i="5"/>
  <c r="B74" i="5" s="1"/>
  <c r="AI8" i="4"/>
  <c r="B7" i="5"/>
  <c r="T8" i="4"/>
  <c r="AA28" i="4"/>
  <c r="Y28" i="4"/>
  <c r="AB28" i="4"/>
  <c r="AE28" i="4"/>
  <c r="AD28" i="4"/>
  <c r="AC28" i="4"/>
  <c r="W28" i="4"/>
  <c r="Z28" i="4"/>
  <c r="X28" i="4"/>
  <c r="AF28" i="4"/>
  <c r="V28" i="4"/>
  <c r="AC50" i="4"/>
  <c r="Z50" i="4"/>
  <c r="AD50" i="4"/>
  <c r="AF50" i="4"/>
  <c r="AE50" i="4"/>
  <c r="Y50" i="4"/>
  <c r="X50" i="4"/>
  <c r="V50" i="4"/>
  <c r="AA50" i="4"/>
  <c r="AB50" i="4"/>
  <c r="W50" i="4"/>
  <c r="B93" i="5"/>
  <c r="B52" i="5"/>
  <c r="B72" i="5" s="1"/>
  <c r="K15" i="4"/>
  <c r="L15" i="4" s="1"/>
  <c r="K14" i="5" s="1"/>
  <c r="C61" i="5"/>
  <c r="F51" i="3"/>
  <c r="F20" i="5" l="1"/>
  <c r="D75" i="5"/>
  <c r="F75" i="5"/>
  <c r="E47" i="5"/>
  <c r="F47" i="5"/>
  <c r="O10" i="5"/>
  <c r="O18" i="5"/>
  <c r="D45" i="5"/>
  <c r="E45" i="5"/>
  <c r="E46" i="5"/>
  <c r="F46" i="5"/>
  <c r="C71" i="5"/>
  <c r="F71" i="5" s="1"/>
  <c r="F51" i="5"/>
  <c r="C67" i="5"/>
  <c r="F67" i="5" s="1"/>
  <c r="C54" i="5"/>
  <c r="E54" i="5" s="1"/>
  <c r="C65" i="5"/>
  <c r="F65" i="5" s="1"/>
  <c r="E51" i="5"/>
  <c r="C66" i="5"/>
  <c r="E66" i="5" s="1"/>
  <c r="O11" i="5"/>
  <c r="O9" i="5"/>
  <c r="C52" i="5"/>
  <c r="AB85" i="4"/>
  <c r="Y85" i="4"/>
  <c r="AD85" i="4"/>
  <c r="X85" i="4"/>
  <c r="W85" i="4"/>
  <c r="V85" i="4"/>
  <c r="AF85" i="4"/>
  <c r="AA85" i="4"/>
  <c r="AC85" i="4"/>
  <c r="AE85" i="4"/>
  <c r="Z85" i="4"/>
  <c r="U85" i="4"/>
  <c r="T35" i="4"/>
  <c r="T69" i="4"/>
  <c r="T52" i="4"/>
  <c r="T103" i="4"/>
  <c r="T86" i="4"/>
  <c r="Y18" i="4"/>
  <c r="Z18" i="4"/>
  <c r="X18" i="4"/>
  <c r="AD18" i="4"/>
  <c r="AE18" i="4"/>
  <c r="AF18" i="4"/>
  <c r="AA18" i="4"/>
  <c r="V18" i="4"/>
  <c r="AB18" i="4"/>
  <c r="W18" i="4"/>
  <c r="AC18" i="4"/>
  <c r="U18" i="4"/>
  <c r="O16" i="5"/>
  <c r="B83" i="5"/>
  <c r="B42" i="5"/>
  <c r="B62" i="5" s="1"/>
  <c r="AC49" i="4"/>
  <c r="X49" i="4"/>
  <c r="Z49" i="4"/>
  <c r="AE49" i="4"/>
  <c r="AF49" i="4"/>
  <c r="AD49" i="4"/>
  <c r="W49" i="4"/>
  <c r="AB49" i="4"/>
  <c r="AA49" i="4"/>
  <c r="Y49" i="4"/>
  <c r="V49" i="4"/>
  <c r="U49" i="4"/>
  <c r="T76" i="4"/>
  <c r="T93" i="4"/>
  <c r="T59" i="4"/>
  <c r="T42" i="4"/>
  <c r="T25" i="4"/>
  <c r="X8" i="4"/>
  <c r="AD8" i="4"/>
  <c r="AB8" i="4"/>
  <c r="Y8" i="4"/>
  <c r="AA8" i="4"/>
  <c r="AE8" i="4"/>
  <c r="AF8" i="4"/>
  <c r="V8" i="4"/>
  <c r="W8" i="4"/>
  <c r="AC8" i="4"/>
  <c r="Z8" i="4"/>
  <c r="U8" i="4"/>
  <c r="B48" i="5"/>
  <c r="B68" i="5" s="1"/>
  <c r="B89" i="5"/>
  <c r="B53" i="5"/>
  <c r="B73" i="5" s="1"/>
  <c r="B94" i="5"/>
  <c r="AF83" i="4"/>
  <c r="X83" i="4"/>
  <c r="Y83" i="4"/>
  <c r="V83" i="4"/>
  <c r="AB83" i="4"/>
  <c r="AD83" i="4"/>
  <c r="AE83" i="4"/>
  <c r="AC83" i="4"/>
  <c r="AA83" i="4"/>
  <c r="Z83" i="4"/>
  <c r="W83" i="4"/>
  <c r="U83" i="4"/>
  <c r="B84" i="5"/>
  <c r="B43" i="5"/>
  <c r="B63" i="5" s="1"/>
  <c r="AE53" i="4"/>
  <c r="AC53" i="4"/>
  <c r="AB53" i="4"/>
  <c r="AD53" i="4"/>
  <c r="Y53" i="4"/>
  <c r="AF53" i="4"/>
  <c r="Z53" i="4"/>
  <c r="W53" i="4"/>
  <c r="X53" i="4"/>
  <c r="V53" i="4"/>
  <c r="AA53" i="4"/>
  <c r="U53" i="4"/>
  <c r="C50" i="5"/>
  <c r="AB32" i="4"/>
  <c r="Z32" i="4"/>
  <c r="Y32" i="4"/>
  <c r="V32" i="4"/>
  <c r="AE32" i="4"/>
  <c r="W32" i="4"/>
  <c r="AC32" i="4"/>
  <c r="AD32" i="4"/>
  <c r="AF32" i="4"/>
  <c r="AA32" i="4"/>
  <c r="X32" i="4"/>
  <c r="U32" i="4"/>
  <c r="AF60" i="4"/>
  <c r="W60" i="4"/>
  <c r="AE60" i="4"/>
  <c r="AD60" i="4"/>
  <c r="Z60" i="4"/>
  <c r="Y60" i="4"/>
  <c r="AA60" i="4"/>
  <c r="AC60" i="4"/>
  <c r="V60" i="4"/>
  <c r="AB60" i="4"/>
  <c r="X60" i="4"/>
  <c r="U60" i="4"/>
  <c r="AF104" i="4"/>
  <c r="Y104" i="4"/>
  <c r="AC104" i="4"/>
  <c r="AD104" i="4"/>
  <c r="W104" i="4"/>
  <c r="AA104" i="4"/>
  <c r="AE104" i="4"/>
  <c r="X104" i="4"/>
  <c r="AB104" i="4"/>
  <c r="V104" i="4"/>
  <c r="Z104" i="4"/>
  <c r="U104" i="4"/>
  <c r="K13" i="4"/>
  <c r="L13" i="4" s="1"/>
  <c r="K12" i="5" s="1"/>
  <c r="T48" i="4"/>
  <c r="T82" i="4"/>
  <c r="T99" i="4"/>
  <c r="T31" i="4"/>
  <c r="T65" i="4"/>
  <c r="Y14" i="4"/>
  <c r="AE14" i="4"/>
  <c r="AD14" i="4"/>
  <c r="Z14" i="4"/>
  <c r="X14" i="4"/>
  <c r="V14" i="4"/>
  <c r="AA14" i="4"/>
  <c r="AB14" i="4"/>
  <c r="AF14" i="4"/>
  <c r="W14" i="4"/>
  <c r="AC14" i="4"/>
  <c r="U14" i="4"/>
  <c r="Y77" i="4"/>
  <c r="AD77" i="4"/>
  <c r="V77" i="4"/>
  <c r="AB77" i="4"/>
  <c r="AF77" i="4"/>
  <c r="X77" i="4"/>
  <c r="W77" i="4"/>
  <c r="AE77" i="4"/>
  <c r="Z77" i="4"/>
  <c r="AA77" i="4"/>
  <c r="AC77" i="4"/>
  <c r="U77" i="4"/>
  <c r="AE102" i="4"/>
  <c r="AB102" i="4"/>
  <c r="AF102" i="4"/>
  <c r="AA102" i="4"/>
  <c r="Z102" i="4"/>
  <c r="AD102" i="4"/>
  <c r="W102" i="4"/>
  <c r="Y102" i="4"/>
  <c r="AC102" i="4"/>
  <c r="V102" i="4"/>
  <c r="X102" i="4"/>
  <c r="U102" i="4"/>
  <c r="AD70" i="4"/>
  <c r="Z70" i="4"/>
  <c r="AF70" i="4"/>
  <c r="W70" i="4"/>
  <c r="Y70" i="4"/>
  <c r="AC70" i="4"/>
  <c r="AE70" i="4"/>
  <c r="AB70" i="4"/>
  <c r="V70" i="4"/>
  <c r="X70" i="4"/>
  <c r="AA70" i="4"/>
  <c r="U70" i="4"/>
  <c r="T64" i="4"/>
  <c r="T81" i="4"/>
  <c r="T47" i="4"/>
  <c r="T30" i="4"/>
  <c r="T98" i="4"/>
  <c r="AA13" i="4"/>
  <c r="W13" i="4"/>
  <c r="AF13" i="4"/>
  <c r="AB13" i="4"/>
  <c r="V13" i="4"/>
  <c r="X13" i="4"/>
  <c r="Z13" i="4"/>
  <c r="AD13" i="4"/>
  <c r="Y13" i="4"/>
  <c r="AE13" i="4"/>
  <c r="AC13" i="4"/>
  <c r="U13" i="4"/>
  <c r="K14" i="4"/>
  <c r="L14" i="4" s="1"/>
  <c r="K13" i="5" s="1"/>
  <c r="J21" i="4"/>
  <c r="J22" i="4" s="1"/>
  <c r="AC26" i="4"/>
  <c r="W26" i="4"/>
  <c r="AE26" i="4"/>
  <c r="Z26" i="4"/>
  <c r="Y26" i="4"/>
  <c r="AA26" i="4"/>
  <c r="AB26" i="4"/>
  <c r="AD26" i="4"/>
  <c r="V26" i="4"/>
  <c r="AF26" i="4"/>
  <c r="X26" i="4"/>
  <c r="U26" i="4"/>
  <c r="AC51" i="4"/>
  <c r="X51" i="4"/>
  <c r="Z51" i="4"/>
  <c r="AE51" i="4"/>
  <c r="AD51" i="4"/>
  <c r="Y51" i="4"/>
  <c r="AF51" i="4"/>
  <c r="W51" i="4"/>
  <c r="V51" i="4"/>
  <c r="AA51" i="4"/>
  <c r="AB51" i="4"/>
  <c r="U51" i="4"/>
  <c r="AB87" i="4"/>
  <c r="AF87" i="4"/>
  <c r="X87" i="4"/>
  <c r="Y87" i="4"/>
  <c r="AD87" i="4"/>
  <c r="AA87" i="4"/>
  <c r="V87" i="4"/>
  <c r="AC87" i="4"/>
  <c r="W87" i="4"/>
  <c r="AE87" i="4"/>
  <c r="Z87" i="4"/>
  <c r="U87" i="4"/>
  <c r="K18" i="4"/>
  <c r="L18" i="4" s="1"/>
  <c r="K17" i="5" s="1"/>
  <c r="K7" i="4"/>
  <c r="F21" i="4"/>
  <c r="F22" i="4" s="1"/>
  <c r="W94" i="4"/>
  <c r="X94" i="4"/>
  <c r="AB94" i="4"/>
  <c r="AA94" i="4"/>
  <c r="Y94" i="4"/>
  <c r="Z94" i="4"/>
  <c r="AC94" i="4"/>
  <c r="AD94" i="4"/>
  <c r="AE94" i="4"/>
  <c r="AF94" i="4"/>
  <c r="V94" i="4"/>
  <c r="U94" i="4"/>
  <c r="W34" i="4"/>
  <c r="AD34" i="4"/>
  <c r="AC34" i="4"/>
  <c r="AB34" i="4"/>
  <c r="X34" i="4"/>
  <c r="Y34" i="4"/>
  <c r="AA34" i="4"/>
  <c r="AE34" i="4"/>
  <c r="Z34" i="4"/>
  <c r="V34" i="4"/>
  <c r="AF34" i="4"/>
  <c r="U34" i="4"/>
  <c r="AB36" i="4"/>
  <c r="Z36" i="4"/>
  <c r="V36" i="4"/>
  <c r="W36" i="4"/>
  <c r="Y36" i="4"/>
  <c r="AD36" i="4"/>
  <c r="AC36" i="4"/>
  <c r="AA36" i="4"/>
  <c r="AE36" i="4"/>
  <c r="X36" i="4"/>
  <c r="AF36" i="4"/>
  <c r="U36" i="4"/>
  <c r="T41" i="4"/>
  <c r="T58" i="4"/>
  <c r="T24" i="4"/>
  <c r="T92" i="4"/>
  <c r="T75" i="4"/>
  <c r="Y7" i="4"/>
  <c r="AC7" i="4"/>
  <c r="V7" i="4"/>
  <c r="W7" i="4"/>
  <c r="AE7" i="4"/>
  <c r="AF7" i="4"/>
  <c r="X7" i="4"/>
  <c r="AD7" i="4"/>
  <c r="Z7" i="4"/>
  <c r="AB7" i="4"/>
  <c r="AA7" i="4"/>
  <c r="U7" i="4"/>
  <c r="Y100" i="4"/>
  <c r="AD100" i="4"/>
  <c r="AC100" i="4"/>
  <c r="W100" i="4"/>
  <c r="AA100" i="4"/>
  <c r="AB100" i="4"/>
  <c r="AF100" i="4"/>
  <c r="X100" i="4"/>
  <c r="Z100" i="4"/>
  <c r="AE100" i="4"/>
  <c r="V100" i="4"/>
  <c r="U100" i="4"/>
  <c r="K8" i="4"/>
  <c r="L8" i="4" s="1"/>
  <c r="K7" i="5" s="1"/>
  <c r="C44" i="5"/>
  <c r="W43" i="4"/>
  <c r="AF43" i="4"/>
  <c r="AC43" i="4"/>
  <c r="Y43" i="4"/>
  <c r="AA43" i="4"/>
  <c r="AD43" i="4"/>
  <c r="Z43" i="4"/>
  <c r="AE43" i="4"/>
  <c r="V43" i="4"/>
  <c r="AB43" i="4"/>
  <c r="X43" i="4"/>
  <c r="U43" i="4"/>
  <c r="Y68" i="4"/>
  <c r="AB68" i="4"/>
  <c r="Z68" i="4"/>
  <c r="AF68" i="4"/>
  <c r="X68" i="4"/>
  <c r="AE68" i="4"/>
  <c r="AD68" i="4"/>
  <c r="W68" i="4"/>
  <c r="AC68" i="4"/>
  <c r="V68" i="4"/>
  <c r="AA68" i="4"/>
  <c r="U68" i="4"/>
  <c r="B49" i="5"/>
  <c r="B69" i="5" s="1"/>
  <c r="B90" i="5"/>
  <c r="AE66" i="4"/>
  <c r="Z66" i="4"/>
  <c r="W66" i="4"/>
  <c r="Y66" i="4"/>
  <c r="AB66" i="4"/>
  <c r="AD66" i="4"/>
  <c r="AF66" i="4"/>
  <c r="X66" i="4"/>
  <c r="AA66" i="4"/>
  <c r="V66" i="4"/>
  <c r="AC66" i="4"/>
  <c r="U66" i="4"/>
  <c r="D61" i="5"/>
  <c r="F61" i="5"/>
  <c r="E61" i="5"/>
  <c r="C64" i="5" l="1"/>
  <c r="D64" i="5" s="1"/>
  <c r="C49" i="5"/>
  <c r="F54" i="5"/>
  <c r="AA108" i="4"/>
  <c r="D54" i="5"/>
  <c r="E67" i="5"/>
  <c r="AF108" i="4"/>
  <c r="AF112" i="4" s="1"/>
  <c r="AD108" i="4"/>
  <c r="AD112" i="4" s="1"/>
  <c r="AC108" i="4"/>
  <c r="AE108" i="4"/>
  <c r="AE112" i="4" s="1"/>
  <c r="W108" i="4"/>
  <c r="E65" i="5"/>
  <c r="D67" i="5"/>
  <c r="E71" i="5"/>
  <c r="D71" i="5"/>
  <c r="Z108" i="4"/>
  <c r="Z112" i="4" s="1"/>
  <c r="Y108" i="4"/>
  <c r="D66" i="5"/>
  <c r="F66" i="5"/>
  <c r="X108" i="4"/>
  <c r="X112" i="4" s="1"/>
  <c r="C53" i="5"/>
  <c r="E53" i="5" s="1"/>
  <c r="D65" i="5"/>
  <c r="V108" i="4"/>
  <c r="G20" i="5"/>
  <c r="AB108" i="4"/>
  <c r="AB112" i="4" s="1"/>
  <c r="O17" i="5"/>
  <c r="Z115" i="4"/>
  <c r="Z127" i="4"/>
  <c r="Y115" i="4"/>
  <c r="Y127" i="4"/>
  <c r="Y65" i="4"/>
  <c r="Z65" i="4"/>
  <c r="AB65" i="4"/>
  <c r="AD65" i="4"/>
  <c r="AF65" i="4"/>
  <c r="AE65" i="4"/>
  <c r="AC65" i="4"/>
  <c r="V65" i="4"/>
  <c r="AA65" i="4"/>
  <c r="W65" i="4"/>
  <c r="X65" i="4"/>
  <c r="U65" i="4"/>
  <c r="O8" i="5"/>
  <c r="AC25" i="4"/>
  <c r="AE25" i="4"/>
  <c r="Z25" i="4"/>
  <c r="AB25" i="4"/>
  <c r="Y25" i="4"/>
  <c r="W25" i="4"/>
  <c r="AD25" i="4"/>
  <c r="V25" i="4"/>
  <c r="AA25" i="4"/>
  <c r="AF25" i="4"/>
  <c r="X25" i="4"/>
  <c r="U25" i="4"/>
  <c r="AD115" i="4"/>
  <c r="AD127" i="4"/>
  <c r="AB75" i="4"/>
  <c r="AF75" i="4"/>
  <c r="W75" i="4"/>
  <c r="AD75" i="4"/>
  <c r="Y75" i="4"/>
  <c r="X75" i="4"/>
  <c r="AA75" i="4"/>
  <c r="AC75" i="4"/>
  <c r="Z75" i="4"/>
  <c r="AE75" i="4"/>
  <c r="V75" i="4"/>
  <c r="U75" i="4"/>
  <c r="AA31" i="4"/>
  <c r="W31" i="4"/>
  <c r="AD31" i="4"/>
  <c r="AC31" i="4"/>
  <c r="Z31" i="4"/>
  <c r="V31" i="4"/>
  <c r="X31" i="4"/>
  <c r="Y31" i="4"/>
  <c r="AB31" i="4"/>
  <c r="AE31" i="4"/>
  <c r="AF31" i="4"/>
  <c r="U31" i="4"/>
  <c r="C70" i="5"/>
  <c r="D50" i="5"/>
  <c r="Z42" i="4"/>
  <c r="W42" i="4"/>
  <c r="Y42" i="4"/>
  <c r="AB42" i="4"/>
  <c r="X42" i="4"/>
  <c r="AE42" i="4"/>
  <c r="AD42" i="4"/>
  <c r="AC42" i="4"/>
  <c r="AF42" i="4"/>
  <c r="AA42" i="4"/>
  <c r="V42" i="4"/>
  <c r="U42" i="4"/>
  <c r="AD86" i="4"/>
  <c r="X86" i="4"/>
  <c r="V86" i="4"/>
  <c r="Y86" i="4"/>
  <c r="AB86" i="4"/>
  <c r="AF86" i="4"/>
  <c r="W86" i="4"/>
  <c r="AC86" i="4"/>
  <c r="Z86" i="4"/>
  <c r="AE86" i="4"/>
  <c r="AA86" i="4"/>
  <c r="U86" i="4"/>
  <c r="E44" i="5"/>
  <c r="X115" i="4"/>
  <c r="X127" i="4"/>
  <c r="AB92" i="4"/>
  <c r="AA92" i="4"/>
  <c r="AF92" i="4"/>
  <c r="Y92" i="4"/>
  <c r="Z92" i="4"/>
  <c r="AC92" i="4"/>
  <c r="AD92" i="4"/>
  <c r="AE92" i="4"/>
  <c r="W92" i="4"/>
  <c r="X92" i="4"/>
  <c r="V92" i="4"/>
  <c r="U92" i="4"/>
  <c r="AB98" i="4"/>
  <c r="Z98" i="4"/>
  <c r="AC98" i="4"/>
  <c r="AE98" i="4"/>
  <c r="AF98" i="4"/>
  <c r="Y98" i="4"/>
  <c r="W98" i="4"/>
  <c r="AD98" i="4"/>
  <c r="X98" i="4"/>
  <c r="AA98" i="4"/>
  <c r="V98" i="4"/>
  <c r="U98" i="4"/>
  <c r="AE99" i="4"/>
  <c r="Z99" i="4"/>
  <c r="X99" i="4"/>
  <c r="AD99" i="4"/>
  <c r="W99" i="4"/>
  <c r="AF99" i="4"/>
  <c r="AA99" i="4"/>
  <c r="Y99" i="4"/>
  <c r="AB99" i="4"/>
  <c r="V99" i="4"/>
  <c r="AC99" i="4"/>
  <c r="U99" i="4"/>
  <c r="W59" i="4"/>
  <c r="Z59" i="4"/>
  <c r="Y59" i="4"/>
  <c r="AD59" i="4"/>
  <c r="AE59" i="4"/>
  <c r="AF59" i="4"/>
  <c r="AB59" i="4"/>
  <c r="V59" i="4"/>
  <c r="AC59" i="4"/>
  <c r="X59" i="4"/>
  <c r="AA59" i="4"/>
  <c r="U59" i="4"/>
  <c r="X103" i="4"/>
  <c r="AD103" i="4"/>
  <c r="Z103" i="4"/>
  <c r="AE103" i="4"/>
  <c r="AF103" i="4"/>
  <c r="AB103" i="4"/>
  <c r="W103" i="4"/>
  <c r="AA103" i="4"/>
  <c r="Y103" i="4"/>
  <c r="AC103" i="4"/>
  <c r="V103" i="4"/>
  <c r="U103" i="4"/>
  <c r="AF115" i="4"/>
  <c r="AF127" i="4"/>
  <c r="V24" i="4"/>
  <c r="Z24" i="4"/>
  <c r="Y24" i="4"/>
  <c r="W24" i="4"/>
  <c r="AC24" i="4"/>
  <c r="AD24" i="4"/>
  <c r="AE24" i="4"/>
  <c r="AB24" i="4"/>
  <c r="AF24" i="4"/>
  <c r="AA24" i="4"/>
  <c r="X24" i="4"/>
  <c r="U24" i="4"/>
  <c r="AE30" i="4"/>
  <c r="AB30" i="4"/>
  <c r="W30" i="4"/>
  <c r="AD30" i="4"/>
  <c r="V30" i="4"/>
  <c r="AC30" i="4"/>
  <c r="Z30" i="4"/>
  <c r="Y30" i="4"/>
  <c r="AA30" i="4"/>
  <c r="X30" i="4"/>
  <c r="AF30" i="4"/>
  <c r="U30" i="4"/>
  <c r="W82" i="4"/>
  <c r="AD82" i="4"/>
  <c r="AF82" i="4"/>
  <c r="AB82" i="4"/>
  <c r="X82" i="4"/>
  <c r="Y82" i="4"/>
  <c r="Z82" i="4"/>
  <c r="AC82" i="4"/>
  <c r="V82" i="4"/>
  <c r="AE82" i="4"/>
  <c r="AA82" i="4"/>
  <c r="U82" i="4"/>
  <c r="AF93" i="4"/>
  <c r="AD93" i="4"/>
  <c r="AE93" i="4"/>
  <c r="Z93" i="4"/>
  <c r="AB93" i="4"/>
  <c r="Y93" i="4"/>
  <c r="AA93" i="4"/>
  <c r="AC93" i="4"/>
  <c r="W93" i="4"/>
  <c r="X93" i="4"/>
  <c r="V93" i="4"/>
  <c r="U93" i="4"/>
  <c r="AE52" i="4"/>
  <c r="Y52" i="4"/>
  <c r="AC52" i="4"/>
  <c r="AD52" i="4"/>
  <c r="Z52" i="4"/>
  <c r="W52" i="4"/>
  <c r="AB52" i="4"/>
  <c r="AA52" i="4"/>
  <c r="AF52" i="4"/>
  <c r="V52" i="4"/>
  <c r="X52" i="4"/>
  <c r="U52" i="4"/>
  <c r="E52" i="5"/>
  <c r="D52" i="5"/>
  <c r="AE115" i="4"/>
  <c r="AE127" i="4"/>
  <c r="AD58" i="4"/>
  <c r="Z58" i="4"/>
  <c r="AE58" i="4"/>
  <c r="AC58" i="4"/>
  <c r="X58" i="4"/>
  <c r="AF58" i="4"/>
  <c r="W58" i="4"/>
  <c r="Y58" i="4"/>
  <c r="AB58" i="4"/>
  <c r="V58" i="4"/>
  <c r="AA58" i="4"/>
  <c r="U58" i="4"/>
  <c r="Y47" i="4"/>
  <c r="AF47" i="4"/>
  <c r="Z47" i="4"/>
  <c r="AD47" i="4"/>
  <c r="W47" i="4"/>
  <c r="AE47" i="4"/>
  <c r="AC47" i="4"/>
  <c r="AA47" i="4"/>
  <c r="V47" i="4"/>
  <c r="AB47" i="4"/>
  <c r="X47" i="4"/>
  <c r="U47" i="4"/>
  <c r="AE48" i="4"/>
  <c r="AC48" i="4"/>
  <c r="Y48" i="4"/>
  <c r="AA48" i="4"/>
  <c r="Z48" i="4"/>
  <c r="AF48" i="4"/>
  <c r="AD48" i="4"/>
  <c r="AB48" i="4"/>
  <c r="X48" i="4"/>
  <c r="W48" i="4"/>
  <c r="V48" i="4"/>
  <c r="U48" i="4"/>
  <c r="C43" i="5"/>
  <c r="AB76" i="4"/>
  <c r="AF76" i="4"/>
  <c r="X76" i="4"/>
  <c r="W76" i="4"/>
  <c r="AD76" i="4"/>
  <c r="Y76" i="4"/>
  <c r="V76" i="4"/>
  <c r="Z76" i="4"/>
  <c r="AA76" i="4"/>
  <c r="AC76" i="4"/>
  <c r="AE76" i="4"/>
  <c r="U76" i="4"/>
  <c r="O14" i="5"/>
  <c r="Z69" i="4"/>
  <c r="AE69" i="4"/>
  <c r="X69" i="4"/>
  <c r="AB69" i="4"/>
  <c r="AD69" i="4"/>
  <c r="AF69" i="4"/>
  <c r="W69" i="4"/>
  <c r="Y69" i="4"/>
  <c r="AA69" i="4"/>
  <c r="AC69" i="4"/>
  <c r="V69" i="4"/>
  <c r="U69" i="4"/>
  <c r="C42" i="5"/>
  <c r="S5" i="4"/>
  <c r="U115" i="4"/>
  <c r="U127" i="4"/>
  <c r="W115" i="4"/>
  <c r="W127" i="4"/>
  <c r="AF41" i="4"/>
  <c r="AD41" i="4"/>
  <c r="AE41" i="4"/>
  <c r="Z41" i="4"/>
  <c r="AC41" i="4"/>
  <c r="Y41" i="4"/>
  <c r="Y116" i="4" s="1"/>
  <c r="W41" i="4"/>
  <c r="V41" i="4"/>
  <c r="X41" i="4"/>
  <c r="AB41" i="4"/>
  <c r="AA41" i="4"/>
  <c r="U41" i="4"/>
  <c r="Y81" i="4"/>
  <c r="AB81" i="4"/>
  <c r="W81" i="4"/>
  <c r="V81" i="4"/>
  <c r="X81" i="4"/>
  <c r="X110" i="4" s="1"/>
  <c r="AD81" i="4"/>
  <c r="AF81" i="4"/>
  <c r="AE81" i="4"/>
  <c r="AA81" i="4"/>
  <c r="Z81" i="4"/>
  <c r="AC81" i="4"/>
  <c r="U81" i="4"/>
  <c r="E50" i="5"/>
  <c r="AC35" i="4"/>
  <c r="AB35" i="4"/>
  <c r="AE35" i="4"/>
  <c r="AA35" i="4"/>
  <c r="X35" i="4"/>
  <c r="Z35" i="4"/>
  <c r="W35" i="4"/>
  <c r="Y35" i="4"/>
  <c r="AF35" i="4"/>
  <c r="AD35" i="4"/>
  <c r="V35" i="4"/>
  <c r="U35" i="4"/>
  <c r="AA115" i="4"/>
  <c r="AA127" i="4"/>
  <c r="V115" i="4"/>
  <c r="V127" i="4"/>
  <c r="C72" i="5"/>
  <c r="C48" i="5"/>
  <c r="U108" i="4"/>
  <c r="AF64" i="4"/>
  <c r="Y64" i="4"/>
  <c r="W64" i="4"/>
  <c r="AD64" i="4"/>
  <c r="AE64" i="4"/>
  <c r="Z64" i="4"/>
  <c r="X64" i="4"/>
  <c r="V64" i="4"/>
  <c r="AB64" i="4"/>
  <c r="AC64" i="4"/>
  <c r="AA64" i="4"/>
  <c r="U64" i="4"/>
  <c r="O7" i="5"/>
  <c r="AB115" i="4"/>
  <c r="AB127" i="4"/>
  <c r="AC115" i="4"/>
  <c r="AC127" i="4"/>
  <c r="C74" i="5"/>
  <c r="K21" i="4"/>
  <c r="L7" i="4"/>
  <c r="K6" i="5" s="1"/>
  <c r="AC112" i="4"/>
  <c r="D44" i="5"/>
  <c r="AE116" i="4" l="1"/>
  <c r="Y110" i="4"/>
  <c r="AC116" i="4"/>
  <c r="W116" i="4"/>
  <c r="W118" i="4" s="1"/>
  <c r="AE110" i="4"/>
  <c r="F52" i="5"/>
  <c r="AA110" i="4"/>
  <c r="AD116" i="4"/>
  <c r="AB110" i="4"/>
  <c r="Z116" i="4"/>
  <c r="AF116" i="4"/>
  <c r="AA116" i="4"/>
  <c r="U110" i="4"/>
  <c r="U112" i="4" s="1"/>
  <c r="W109" i="4"/>
  <c r="X117" i="4"/>
  <c r="X124" i="4" s="1"/>
  <c r="AF110" i="4"/>
  <c r="U109" i="4"/>
  <c r="AD109" i="4"/>
  <c r="Y117" i="4"/>
  <c r="X116" i="4"/>
  <c r="Z110" i="4"/>
  <c r="AE109" i="4"/>
  <c r="AE123" i="4" s="1"/>
  <c r="AA117" i="4"/>
  <c r="AA124" i="4" s="1"/>
  <c r="AD110" i="4"/>
  <c r="X109" i="4"/>
  <c r="X111" i="4" s="1"/>
  <c r="Z109" i="4"/>
  <c r="U117" i="4"/>
  <c r="AD117" i="4"/>
  <c r="U116" i="4"/>
  <c r="AB116" i="4"/>
  <c r="AB109" i="4"/>
  <c r="AB111" i="4" s="1"/>
  <c r="AF109" i="4"/>
  <c r="V117" i="4"/>
  <c r="V119" i="4" s="1"/>
  <c r="W117" i="4"/>
  <c r="W119" i="4" s="1"/>
  <c r="V110" i="4"/>
  <c r="V112" i="4" s="1"/>
  <c r="V109" i="4"/>
  <c r="Y109" i="4"/>
  <c r="Y123" i="4" s="1"/>
  <c r="AE117" i="4"/>
  <c r="AF117" i="4"/>
  <c r="AC110" i="4"/>
  <c r="W110" i="4"/>
  <c r="W112" i="4" s="1"/>
  <c r="V116" i="4"/>
  <c r="AA109" i="4"/>
  <c r="Z117" i="4"/>
  <c r="AB117" i="4"/>
  <c r="AC109" i="4"/>
  <c r="AC117" i="4"/>
  <c r="AC119" i="4" s="1"/>
  <c r="AF122" i="4"/>
  <c r="AE122" i="4"/>
  <c r="AK9" i="4"/>
  <c r="AK7" i="4"/>
  <c r="C94" i="5"/>
  <c r="E94" i="5" s="1"/>
  <c r="C89" i="5"/>
  <c r="E89" i="5" s="1"/>
  <c r="AK8" i="4"/>
  <c r="D53" i="5"/>
  <c r="Z122" i="4"/>
  <c r="AD122" i="4"/>
  <c r="X122" i="4"/>
  <c r="Y122" i="4"/>
  <c r="Y112" i="4"/>
  <c r="F53" i="5"/>
  <c r="O12" i="5"/>
  <c r="F50" i="5"/>
  <c r="E64" i="5"/>
  <c r="F64" i="5" s="1"/>
  <c r="O13" i="5"/>
  <c r="F44" i="5"/>
  <c r="C69" i="5"/>
  <c r="F69" i="5" s="1"/>
  <c r="D48" i="5"/>
  <c r="E48" i="5"/>
  <c r="F48" i="5"/>
  <c r="C56" i="5"/>
  <c r="C57" i="5" s="1"/>
  <c r="D49" i="5"/>
  <c r="AF128" i="4"/>
  <c r="AF129" i="4" s="1"/>
  <c r="AE133" i="4" s="1"/>
  <c r="V128" i="4"/>
  <c r="V129" i="4" s="1"/>
  <c r="D42" i="5"/>
  <c r="S73" i="4"/>
  <c r="E72" i="5"/>
  <c r="F72" i="5"/>
  <c r="D72" i="5"/>
  <c r="AB128" i="4"/>
  <c r="AB129" i="4" s="1"/>
  <c r="AE128" i="4"/>
  <c r="AE129" i="4" s="1"/>
  <c r="E43" i="5"/>
  <c r="AE119" i="4"/>
  <c r="AC122" i="4"/>
  <c r="AB118" i="4"/>
  <c r="AB119" i="4"/>
  <c r="V122" i="4"/>
  <c r="AD128" i="4"/>
  <c r="AD129" i="4" s="1"/>
  <c r="Z119" i="4"/>
  <c r="E49" i="5"/>
  <c r="AC128" i="4"/>
  <c r="AC129" i="4" s="1"/>
  <c r="X119" i="4"/>
  <c r="X118" i="4"/>
  <c r="AA112" i="4"/>
  <c r="L21" i="4"/>
  <c r="AB122" i="4"/>
  <c r="C68" i="5"/>
  <c r="C62" i="5"/>
  <c r="U128" i="4"/>
  <c r="U129" i="4" s="1"/>
  <c r="U132" i="4" s="1"/>
  <c r="S22" i="4"/>
  <c r="W128" i="4"/>
  <c r="W129" i="4" s="1"/>
  <c r="AA122" i="4"/>
  <c r="AA119" i="4"/>
  <c r="AD119" i="4"/>
  <c r="AD118" i="4"/>
  <c r="C73" i="5"/>
  <c r="AG115" i="4"/>
  <c r="X128" i="4"/>
  <c r="X129" i="4" s="1"/>
  <c r="Y128" i="4"/>
  <c r="Y129" i="4" s="1"/>
  <c r="J20" i="5"/>
  <c r="C63" i="5"/>
  <c r="D74" i="5"/>
  <c r="E74" i="5"/>
  <c r="F74" i="5"/>
  <c r="AG108" i="4"/>
  <c r="U122" i="4"/>
  <c r="E42" i="5"/>
  <c r="S39" i="4"/>
  <c r="Z118" i="4"/>
  <c r="D43" i="5"/>
  <c r="S56" i="4"/>
  <c r="AA128" i="4"/>
  <c r="AA129" i="4" s="1"/>
  <c r="Z128" i="4"/>
  <c r="Z129" i="4" s="1"/>
  <c r="S90" i="4"/>
  <c r="E70" i="5"/>
  <c r="F70" i="5"/>
  <c r="D70" i="5"/>
  <c r="Y119" i="4"/>
  <c r="W122" i="4"/>
  <c r="AK14" i="4"/>
  <c r="C90" i="5"/>
  <c r="E90" i="5" s="1"/>
  <c r="F86" i="5"/>
  <c r="H86" i="5" s="1"/>
  <c r="F84" i="5"/>
  <c r="H84" i="5" s="1"/>
  <c r="F85" i="5"/>
  <c r="H85" i="5" s="1"/>
  <c r="AC118" i="4" l="1"/>
  <c r="Z123" i="4"/>
  <c r="V118" i="4"/>
  <c r="Y124" i="4"/>
  <c r="AE124" i="4"/>
  <c r="W123" i="4"/>
  <c r="AC123" i="4"/>
  <c r="W111" i="4"/>
  <c r="AF124" i="4"/>
  <c r="AD123" i="4"/>
  <c r="AB124" i="4"/>
  <c r="U124" i="4"/>
  <c r="Z124" i="4"/>
  <c r="Y111" i="4"/>
  <c r="AA123" i="4"/>
  <c r="AF123" i="4"/>
  <c r="AB123" i="4"/>
  <c r="Z111" i="4"/>
  <c r="V123" i="4"/>
  <c r="AC124" i="4"/>
  <c r="U123" i="4"/>
  <c r="AA111" i="4"/>
  <c r="AF111" i="4"/>
  <c r="X123" i="4"/>
  <c r="AC111" i="4"/>
  <c r="AD124" i="4"/>
  <c r="V124" i="4"/>
  <c r="U119" i="4"/>
  <c r="W124" i="4"/>
  <c r="AK6" i="4"/>
  <c r="C84" i="5"/>
  <c r="E84" i="5" s="1"/>
  <c r="C85" i="5"/>
  <c r="E85" i="5" s="1"/>
  <c r="C83" i="5"/>
  <c r="E83" i="5" s="1"/>
  <c r="M51" i="3"/>
  <c r="F89" i="5" s="1"/>
  <c r="H89" i="5" s="1"/>
  <c r="AK13" i="4"/>
  <c r="AK18" i="4"/>
  <c r="AE111" i="4"/>
  <c r="AD111" i="4"/>
  <c r="AG116" i="4"/>
  <c r="V111" i="4"/>
  <c r="AE118" i="4"/>
  <c r="AF119" i="4"/>
  <c r="AF118" i="4"/>
  <c r="U118" i="4"/>
  <c r="E56" i="5"/>
  <c r="E57" i="5" s="1"/>
  <c r="F49" i="5"/>
  <c r="D69" i="5"/>
  <c r="AG122" i="4"/>
  <c r="AH122" i="4" s="1"/>
  <c r="E69" i="5"/>
  <c r="F43" i="5"/>
  <c r="D68" i="5"/>
  <c r="F68" i="5"/>
  <c r="E68" i="5"/>
  <c r="F42" i="5"/>
  <c r="C31" i="5"/>
  <c r="Y118" i="4"/>
  <c r="AG117" i="4"/>
  <c r="AG119" i="4" s="1"/>
  <c r="AG109" i="4"/>
  <c r="U111" i="4"/>
  <c r="AG110" i="4"/>
  <c r="AG112" i="4" s="1"/>
  <c r="E63" i="5"/>
  <c r="F63" i="5"/>
  <c r="D63" i="5"/>
  <c r="V132" i="4"/>
  <c r="AA118" i="4"/>
  <c r="D56" i="5"/>
  <c r="D57" i="5" s="1"/>
  <c r="AD133" i="4"/>
  <c r="AC133" i="4" s="1"/>
  <c r="AB133" i="4" s="1"/>
  <c r="AA133" i="4" s="1"/>
  <c r="Z133" i="4" s="1"/>
  <c r="E73" i="5"/>
  <c r="D73" i="5"/>
  <c r="D62" i="5"/>
  <c r="F62" i="5"/>
  <c r="E62" i="5"/>
  <c r="C76" i="5"/>
  <c r="C77" i="5" s="1"/>
  <c r="AL15" i="4"/>
  <c r="F91" i="5"/>
  <c r="H91" i="5" s="1"/>
  <c r="AL19" i="4"/>
  <c r="F95" i="5"/>
  <c r="H95" i="5" s="1"/>
  <c r="AL14" i="4"/>
  <c r="F90" i="5"/>
  <c r="H90" i="5" s="1"/>
  <c r="F83" i="5"/>
  <c r="AL8" i="4"/>
  <c r="AL9" i="4"/>
  <c r="AL10" i="4"/>
  <c r="AL7" i="4"/>
  <c r="AL6" i="4"/>
  <c r="C27" i="5" l="1"/>
  <c r="C82" i="5"/>
  <c r="E82" i="5" s="1"/>
  <c r="AL13" i="4"/>
  <c r="AG123" i="4"/>
  <c r="AH123" i="4" s="1"/>
  <c r="AG111" i="4"/>
  <c r="F73" i="5"/>
  <c r="AG124" i="4"/>
  <c r="AH124" i="4" s="1"/>
  <c r="O6" i="5"/>
  <c r="K20" i="5"/>
  <c r="C26" i="5" s="1"/>
  <c r="F56" i="5"/>
  <c r="F57" i="5" s="1"/>
  <c r="C32" i="5"/>
  <c r="E76" i="5"/>
  <c r="E77" i="5" s="1"/>
  <c r="W132" i="4"/>
  <c r="D76" i="5"/>
  <c r="D77" i="5" s="1"/>
  <c r="AG118" i="4"/>
  <c r="F82" i="5"/>
  <c r="H83" i="5"/>
  <c r="P2" i="4" l="1"/>
  <c r="X132" i="4"/>
  <c r="O20" i="5"/>
  <c r="F76" i="5"/>
  <c r="F77" i="5" s="1"/>
  <c r="H82" i="5"/>
  <c r="P3" i="4" l="1"/>
  <c r="Y132" i="4"/>
  <c r="Z132" i="4" l="1"/>
  <c r="Y133" i="4" l="1"/>
  <c r="Z134" i="4"/>
  <c r="AA132" i="4"/>
  <c r="AB132" i="4" l="1"/>
  <c r="AA134" i="4"/>
  <c r="X133" i="4"/>
  <c r="Y134" i="4"/>
  <c r="Z135" i="4" s="1"/>
  <c r="AA135" i="4" l="1"/>
  <c r="W133" i="4"/>
  <c r="X134" i="4"/>
  <c r="Y135" i="4" s="1"/>
  <c r="AB134" i="4"/>
  <c r="AC132" i="4"/>
  <c r="AL18" i="4"/>
  <c r="L55" i="3"/>
  <c r="AK17" i="4" s="1"/>
  <c r="AJ27" i="4" s="1"/>
  <c r="F34" i="5" s="1"/>
  <c r="F94" i="5"/>
  <c r="H94" i="5" s="1"/>
  <c r="AB135" i="4" l="1"/>
  <c r="AD132" i="4"/>
  <c r="AC134" i="4"/>
  <c r="V133" i="4"/>
  <c r="W134" i="4"/>
  <c r="X135" i="4" s="1"/>
  <c r="M55" i="3"/>
  <c r="AL17" i="4" s="1"/>
  <c r="C93" i="5"/>
  <c r="E93" i="5" s="1"/>
  <c r="D34" i="5" s="1"/>
  <c r="AC135" i="4" l="1"/>
  <c r="U133" i="4"/>
  <c r="V134" i="4"/>
  <c r="W135" i="4" s="1"/>
  <c r="AD134" i="4"/>
  <c r="AE132" i="4"/>
  <c r="AJ28" i="4"/>
  <c r="F35" i="5" s="1"/>
  <c r="F33" i="5" s="1"/>
  <c r="F36" i="5" s="1"/>
  <c r="F93" i="5"/>
  <c r="H93" i="5" s="1"/>
  <c r="D35" i="5" s="1"/>
  <c r="AD135" i="4" l="1"/>
  <c r="AE134" i="4"/>
  <c r="AF132" i="4"/>
  <c r="AF134" i="4" s="1"/>
  <c r="U134" i="4"/>
  <c r="V135" i="4" s="1"/>
  <c r="T133" i="4"/>
  <c r="T134" i="4" s="1"/>
  <c r="D33" i="5"/>
  <c r="D36" i="5" s="1"/>
  <c r="U135" i="4" l="1"/>
  <c r="AF135" i="4"/>
  <c r="AE135" i="4"/>
  <c r="U138" i="4" l="1"/>
  <c r="T136" i="4" s="1"/>
  <c r="AF136" i="4" l="1"/>
  <c r="X136" i="4"/>
  <c r="Y136" i="4"/>
  <c r="AE136" i="4"/>
  <c r="W136" i="4"/>
  <c r="AA136" i="4"/>
  <c r="AD136" i="4"/>
  <c r="V136" i="4"/>
  <c r="AC136" i="4"/>
  <c r="AB136" i="4"/>
  <c r="Z136" i="4"/>
  <c r="C23" i="5"/>
  <c r="U136" i="4"/>
  <c r="F37" i="5" l="1"/>
  <c r="C24" i="5"/>
  <c r="D3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C9" authorId="0" shapeId="0" xr:uid="{00000000-0006-0000-0100-000001000000}">
      <text>
        <r>
          <rPr>
            <sz val="9"/>
            <color indexed="81"/>
            <rFont val="Tahoma"/>
            <family val="2"/>
          </rPr>
          <t>Entry not required. Default name applies if no user defined class entered.</t>
        </r>
      </text>
    </comment>
    <comment ref="I9" authorId="0" shapeId="0" xr:uid="{00000000-0006-0000-0100-000002000000}">
      <text>
        <r>
          <rPr>
            <sz val="9"/>
            <color indexed="81"/>
            <rFont val="Tahoma"/>
            <family val="2"/>
          </rPr>
          <t>Entry not required, default applies if no user color entered</t>
        </r>
      </text>
    </comment>
    <comment ref="J20" authorId="0" shapeId="0" xr:uid="{00000000-0006-0000-0100-000003000000}">
      <text>
        <r>
          <rPr>
            <sz val="9"/>
            <color indexed="81"/>
            <rFont val="Tahoma"/>
            <family val="2"/>
          </rPr>
          <t xml:space="preserve">Inventory prices are based on percentile entered unless value entered for class
</t>
        </r>
      </text>
    </comment>
    <comment ref="C27" authorId="0" shapeId="0" xr:uid="{00000000-0006-0000-0100-000004000000}">
      <text>
        <r>
          <rPr>
            <sz val="9"/>
            <color indexed="81"/>
            <rFont val="Tahoma"/>
            <family val="2"/>
          </rPr>
          <t>Use generic AE ratings based on productivity zone (recommended) or user entered based on entering herd information into Bush AgriBusiness' AE tool</t>
        </r>
      </text>
    </comment>
    <comment ref="J29" authorId="0" shapeId="0" xr:uid="{00000000-0006-0000-0100-000005000000}">
      <text>
        <r>
          <rPr>
            <sz val="9"/>
            <color indexed="81"/>
            <rFont val="Tahoma"/>
            <family val="2"/>
          </rPr>
          <t>Use generic weights based on productivity zone (recommended) or user entered. Bush AgriBusiness' AE tool will help estimate weights</t>
        </r>
      </text>
    </comment>
    <comment ref="K50" authorId="0" shapeId="0" xr:uid="{00000000-0006-0000-0100-000006000000}">
      <text>
        <r>
          <rPr>
            <sz val="9"/>
            <color indexed="81"/>
            <rFont val="Tahoma"/>
            <family val="2"/>
          </rPr>
          <t>Calves are included in breeder AE rating until weaning.</t>
        </r>
      </text>
    </comment>
    <comment ref="M51" authorId="0" shapeId="0" xr:uid="{00000000-0006-0000-0100-000007000000}">
      <text>
        <r>
          <rPr>
            <sz val="9"/>
            <color indexed="81"/>
            <rFont val="Tahoma"/>
            <family val="2"/>
          </rPr>
          <t>Closing weight for bullock class set as same for opening, so no change in class (i.e. opening &amp; closing weight of oldest class has to be same). Should be very few closing in this class.</t>
        </r>
      </text>
    </comment>
    <comment ref="K54" authorId="0" shapeId="0" xr:uid="{00000000-0006-0000-0100-000008000000}">
      <text>
        <r>
          <rPr>
            <sz val="9"/>
            <color indexed="81"/>
            <rFont val="Tahoma"/>
            <family val="2"/>
          </rPr>
          <t>Calves are included in breeder AE rating until weaning.</t>
        </r>
      </text>
    </comment>
    <comment ref="M56" authorId="0" shapeId="0" xr:uid="{00000000-0006-0000-0100-000009000000}">
      <text>
        <r>
          <rPr>
            <sz val="9"/>
            <color indexed="81"/>
            <rFont val="Tahoma"/>
            <family val="2"/>
          </rPr>
          <t>This is the opening weight of the mature bull class, so that closing kg this year match opening next year. 
Will have immaterial impact on result and avoids needing another bull class.</t>
        </r>
      </text>
    </comment>
    <comment ref="K58" authorId="0" shapeId="0" xr:uid="{00000000-0006-0000-0100-00000A000000}">
      <text>
        <r>
          <rPr>
            <sz val="9"/>
            <color indexed="81"/>
            <rFont val="Tahoma"/>
            <family val="2"/>
          </rPr>
          <t>Calves are included in breeder AE rating until weaning.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D5" authorId="0" shapeId="0" xr:uid="{00000000-0006-0000-0200-000001000000}">
      <text>
        <r>
          <rPr>
            <sz val="9"/>
            <color indexed="81"/>
            <rFont val="Tahoma"/>
            <family val="2"/>
          </rPr>
          <t>Opening number of each group</t>
        </r>
      </text>
    </comment>
    <comment ref="E5" authorId="0" shapeId="0" xr:uid="{00000000-0006-0000-0200-000002000000}">
      <text>
        <r>
          <rPr>
            <sz val="9"/>
            <color indexed="81"/>
            <rFont val="Tahoma"/>
            <family val="2"/>
          </rPr>
          <t>Number branded in age group during year.</t>
        </r>
      </text>
    </comment>
    <comment ref="F5" authorId="0" shapeId="0" xr:uid="{00000000-0006-0000-0200-000003000000}">
      <text>
        <r>
          <rPr>
            <sz val="9"/>
            <color indexed="81"/>
            <rFont val="Tahoma"/>
            <family val="2"/>
          </rPr>
          <t>This is populated automatically based on purchases entered in section below</t>
        </r>
      </text>
    </comment>
    <comment ref="G5" authorId="0" shapeId="0" xr:uid="{00000000-0006-0000-0200-000004000000}">
      <text>
        <r>
          <rPr>
            <sz val="9"/>
            <color indexed="81"/>
            <rFont val="Tahoma"/>
            <family val="2"/>
          </rPr>
          <t>Recoveries which were written off as deaths in prior year. Cannot exceed 2% of the opening numbers of the stock class.</t>
        </r>
      </text>
    </comment>
    <comment ref="J5" authorId="0" shapeId="0" xr:uid="{00000000-0006-0000-0200-000005000000}">
      <text>
        <r>
          <rPr>
            <sz val="9"/>
            <color indexed="81"/>
            <rFont val="Tahoma"/>
            <family val="2"/>
          </rPr>
          <t>This is populated automatically based on sales entered in section below</t>
        </r>
      </text>
    </comment>
    <comment ref="K5" authorId="0" shapeId="0" xr:uid="{00000000-0006-0000-0200-000006000000}">
      <text>
        <r>
          <rPr>
            <sz val="9"/>
            <color indexed="81"/>
            <rFont val="Tahoma"/>
            <family val="2"/>
          </rPr>
          <t>This section is here to provide a balance before deaths accounted for.</t>
        </r>
      </text>
    </comment>
    <comment ref="L5" authorId="0" shapeId="0" xr:uid="{00000000-0006-0000-0200-000007000000}">
      <text>
        <r>
          <rPr>
            <sz val="9"/>
            <color indexed="81"/>
            <rFont val="Tahoma"/>
            <family val="2"/>
          </rPr>
          <t>Deaths are calculated automatically based on closing numbers.</t>
        </r>
      </text>
    </comment>
    <comment ref="M5" authorId="0" shapeId="0" xr:uid="{00000000-0006-0000-0200-000008000000}">
      <text>
        <r>
          <rPr>
            <sz val="9"/>
            <color indexed="81"/>
            <rFont val="Tahoma"/>
            <family val="2"/>
          </rPr>
          <t>Closing numbers should match what is in known to be in the padock at year end. If they aren't there, kill them here.</t>
        </r>
      </text>
    </comment>
    <comment ref="O27" authorId="0" shapeId="0" xr:uid="{00000000-0006-0000-0200-000009000000}">
      <text>
        <r>
          <rPr>
            <sz val="9"/>
            <color indexed="81"/>
            <rFont val="Tahoma"/>
            <family val="2"/>
          </rPr>
          <t>Based on information in stockflow, if PTE's sold prior to start of year then it will be overstated. A more accurate calculation can be done by entering information below.</t>
        </r>
      </text>
    </comment>
    <comment ref="O33" authorId="0" shapeId="0" xr:uid="{00000000-0006-0000-0200-00000A000000}">
      <text>
        <r>
          <rPr>
            <sz val="9"/>
            <color indexed="81"/>
            <rFont val="Tahoma"/>
            <family val="2"/>
          </rPr>
          <t>Enter information below (on females exposed to bull for conceptions that relate to this years calf drop) for more accurate reproductive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C25" authorId="0" shapeId="0" xr:uid="{00000000-0006-0000-0300-000001000000}">
      <text>
        <r>
          <rPr>
            <sz val="9"/>
            <color indexed="81"/>
            <rFont val="Tahoma"/>
            <family val="2"/>
          </rPr>
          <t>Refer to section in herd sheet for information and calculations.</t>
        </r>
      </text>
    </comment>
    <comment ref="C26" authorId="0" shapeId="0" xr:uid="{00000000-0006-0000-0300-000002000000}">
      <text>
        <r>
          <rPr>
            <sz val="9"/>
            <color indexed="81"/>
            <rFont val="Tahoma"/>
            <family val="2"/>
          </rPr>
          <t>Excludes losses from branding to weaning. These are accounted for in reproductive rate.
Adjusted for current year recoveries.</t>
        </r>
      </text>
    </comment>
  </commentList>
</comments>
</file>

<file path=xl/sharedStrings.xml><?xml version="1.0" encoding="utf-8"?>
<sst xmlns="http://schemas.openxmlformats.org/spreadsheetml/2006/main" count="482" uniqueCount="310">
  <si>
    <t>High</t>
  </si>
  <si>
    <t>Moderate</t>
  </si>
  <si>
    <t>Low</t>
  </si>
  <si>
    <t>Class</t>
  </si>
  <si>
    <t>Steers &lt;1</t>
  </si>
  <si>
    <t>Steers 1-2</t>
  </si>
  <si>
    <t>Steers 2-3</t>
  </si>
  <si>
    <t>Steers 3+</t>
  </si>
  <si>
    <t>Bulls &lt;1</t>
  </si>
  <si>
    <t>Bulls 1-2</t>
  </si>
  <si>
    <t>Bulls 2-3</t>
  </si>
  <si>
    <t>Weights</t>
  </si>
  <si>
    <t>Weaner Bulls</t>
  </si>
  <si>
    <t>Young Bulls</t>
  </si>
  <si>
    <t>Grown Bulls</t>
  </si>
  <si>
    <t>Mature Bulls</t>
  </si>
  <si>
    <t>Weaner Steers</t>
  </si>
  <si>
    <t>Young Steers</t>
  </si>
  <si>
    <t>Grown Steers</t>
  </si>
  <si>
    <t>Bullocks</t>
  </si>
  <si>
    <t>n.a</t>
  </si>
  <si>
    <t>Weaner Heifers</t>
  </si>
  <si>
    <t>Mature Breeders</t>
  </si>
  <si>
    <t>Mixed</t>
  </si>
  <si>
    <t>Start Weight</t>
  </si>
  <si>
    <t>End Weight</t>
  </si>
  <si>
    <t>Sex</t>
  </si>
  <si>
    <t>Steers</t>
  </si>
  <si>
    <t>Bulls</t>
  </si>
  <si>
    <t>Age Group</t>
  </si>
  <si>
    <t>Females</t>
  </si>
  <si>
    <t>Age group 5</t>
  </si>
  <si>
    <t>Age group 4</t>
  </si>
  <si>
    <t>Age group 3</t>
  </si>
  <si>
    <t>Age group 2</t>
  </si>
  <si>
    <t>Age group 1</t>
  </si>
  <si>
    <t>Productivity Zone:</t>
  </si>
  <si>
    <t>Brand # for 'Age group 1' below:</t>
  </si>
  <si>
    <t>Age of first joining (mths):</t>
  </si>
  <si>
    <t>January</t>
  </si>
  <si>
    <t>Livestock class names (from anniversary of birth to anniversary of birth).</t>
  </si>
  <si>
    <t>Age and Sex</t>
  </si>
  <si>
    <t>Default class name</t>
  </si>
  <si>
    <t>User defined class name</t>
  </si>
  <si>
    <t>Year Brand</t>
  </si>
  <si>
    <t>Tag Color</t>
  </si>
  <si>
    <t>User entered</t>
  </si>
  <si>
    <t>Females &lt;1yo</t>
  </si>
  <si>
    <t>Blue</t>
  </si>
  <si>
    <t>Females 1-2yo</t>
  </si>
  <si>
    <t>Black</t>
  </si>
  <si>
    <t>Females 2-3yo</t>
  </si>
  <si>
    <t>White</t>
  </si>
  <si>
    <t>Females 3-4yo</t>
  </si>
  <si>
    <t>Orange</t>
  </si>
  <si>
    <t>Females 4yo+</t>
  </si>
  <si>
    <t>Green</t>
  </si>
  <si>
    <t>Mixed &lt;1</t>
  </si>
  <si>
    <t>Mixed Calves</t>
  </si>
  <si>
    <t>Purple</t>
  </si>
  <si>
    <t>Yellow</t>
  </si>
  <si>
    <t>Red</t>
  </si>
  <si>
    <t>Lookups</t>
  </si>
  <si>
    <t>Animal Information</t>
  </si>
  <si>
    <t>AE Rating</t>
  </si>
  <si>
    <t>Brand</t>
  </si>
  <si>
    <t>Start Age (mths)</t>
  </si>
  <si>
    <t>Starting Class</t>
  </si>
  <si>
    <t>End Age (mths)</t>
  </si>
  <si>
    <t>End Class</t>
  </si>
  <si>
    <t>Avg for period</t>
  </si>
  <si>
    <t>Business Name:</t>
  </si>
  <si>
    <t>Example</t>
  </si>
  <si>
    <t xml:space="preserve"> </t>
  </si>
  <si>
    <t>Bulls 3+</t>
  </si>
  <si>
    <t>Weights Offset</t>
  </si>
  <si>
    <t>&gt;150kg/yr</t>
  </si>
  <si>
    <t>110-150kg/yr</t>
  </si>
  <si>
    <t>&lt;110kg/yr</t>
  </si>
  <si>
    <t>AE Change</t>
  </si>
  <si>
    <t>AE Purchased</t>
  </si>
  <si>
    <t>AE Sold</t>
  </si>
  <si>
    <t>AE Calculation</t>
  </si>
  <si>
    <t>Total Kg</t>
  </si>
  <si>
    <t>Total $</t>
  </si>
  <si>
    <t>Head</t>
  </si>
  <si>
    <t>All  Sales Summary</t>
  </si>
  <si>
    <t>Average Weight</t>
  </si>
  <si>
    <t>Average Price</t>
  </si>
  <si>
    <t>Female Sales Summary</t>
  </si>
  <si>
    <t>Male Sales Summary</t>
  </si>
  <si>
    <t>May</t>
  </si>
  <si>
    <t>September</t>
  </si>
  <si>
    <t>Total Kg LW</t>
  </si>
  <si>
    <t>Purchase Basis</t>
  </si>
  <si>
    <t>Value</t>
  </si>
  <si>
    <t>Purchase Month</t>
  </si>
  <si>
    <t>Avg LW/hd</t>
  </si>
  <si>
    <t>Number of Hd</t>
  </si>
  <si>
    <t>Comment, Ref#</t>
  </si>
  <si>
    <t>Sex and brand</t>
  </si>
  <si>
    <t>PURCHASE INFORMATION</t>
  </si>
  <si>
    <t>Purchases Summary (Total Kg)</t>
  </si>
  <si>
    <t>Backward Pass</t>
  </si>
  <si>
    <t>Forward Pass</t>
  </si>
  <si>
    <t>Sales Summary (Total Kg)</t>
  </si>
  <si>
    <t>Closing AE</t>
  </si>
  <si>
    <t>Opening AE</t>
  </si>
  <si>
    <t>Purchases Summary (Total $)</t>
  </si>
  <si>
    <t>July</t>
  </si>
  <si>
    <t>June</t>
  </si>
  <si>
    <t>$/hd</t>
  </si>
  <si>
    <t>Value $/Kg</t>
  </si>
  <si>
    <t>Month of Sale</t>
  </si>
  <si>
    <t>SALES INFORMATION</t>
  </si>
  <si>
    <t>Sales Summary (Total $)</t>
  </si>
  <si>
    <t>Deaths</t>
  </si>
  <si>
    <t>Closing before deaths</t>
  </si>
  <si>
    <t>Sold</t>
  </si>
  <si>
    <t>OUT</t>
  </si>
  <si>
    <t>IN</t>
  </si>
  <si>
    <t>Purchased</t>
  </si>
  <si>
    <t>Branded</t>
  </si>
  <si>
    <t>USES</t>
  </si>
  <si>
    <t>Internal Transfers</t>
  </si>
  <si>
    <t>SOURCES</t>
  </si>
  <si>
    <t>Purchases Summary (hd)</t>
  </si>
  <si>
    <t>H2</t>
  </si>
  <si>
    <t>H1</t>
  </si>
  <si>
    <t>Speys &amp; Culls</t>
  </si>
  <si>
    <t>Half</t>
  </si>
  <si>
    <t>Months</t>
  </si>
  <si>
    <t>Sales Summary (hd)</t>
  </si>
  <si>
    <t>Summary</t>
  </si>
  <si>
    <t>Herdflow</t>
  </si>
  <si>
    <t>ERROR CHECK</t>
  </si>
  <si>
    <t>Avg $/Hd</t>
  </si>
  <si>
    <t>Avg Weight</t>
  </si>
  <si>
    <t>PURCHASE SUMMARY</t>
  </si>
  <si>
    <t>SALES SUMMARY</t>
  </si>
  <si>
    <t>Purchases</t>
  </si>
  <si>
    <t>Sales</t>
  </si>
  <si>
    <t>Mortality Rate</t>
  </si>
  <si>
    <t>Average Annual AE</t>
  </si>
  <si>
    <t>KEY MEASURES</t>
  </si>
  <si>
    <t>Opening Livestock Class</t>
  </si>
  <si>
    <t>Productivity Lookup</t>
  </si>
  <si>
    <t>August</t>
  </si>
  <si>
    <t>October</t>
  </si>
  <si>
    <t>November</t>
  </si>
  <si>
    <t>December</t>
  </si>
  <si>
    <t>February</t>
  </si>
  <si>
    <t>March</t>
  </si>
  <si>
    <t>April</t>
  </si>
  <si>
    <t>AE rating</t>
  </si>
  <si>
    <t>OP. Wt.</t>
  </si>
  <si>
    <t>Cl. Wt.</t>
  </si>
  <si>
    <t>Point in Time AE Calculations</t>
  </si>
  <si>
    <t>Inventory Kilograms</t>
  </si>
  <si>
    <t>Opening Kg</t>
  </si>
  <si>
    <t>Closing Kg</t>
  </si>
  <si>
    <t>Full Year</t>
  </si>
  <si>
    <t>Closing Livestock Class</t>
  </si>
  <si>
    <t>Yearling Steer</t>
  </si>
  <si>
    <t>Yearling Heifer</t>
  </si>
  <si>
    <t>Steers &amp; Bullocks</t>
  </si>
  <si>
    <t>Grown Females</t>
  </si>
  <si>
    <t>Inventory Values (percentiles, 20yrs to 2020)</t>
  </si>
  <si>
    <t>Price</t>
  </si>
  <si>
    <t>Choose percentile</t>
  </si>
  <si>
    <t xml:space="preserve">Foetus </t>
  </si>
  <si>
    <t>Applied Class</t>
  </si>
  <si>
    <t>Value Class</t>
  </si>
  <si>
    <t>Opening Inventory Values</t>
  </si>
  <si>
    <t>Kg/Hd</t>
  </si>
  <si>
    <t>$/Kg</t>
  </si>
  <si>
    <t>Closing Inventory Values</t>
  </si>
  <si>
    <t>Opening Herd</t>
  </si>
  <si>
    <t>Closing Herd</t>
  </si>
  <si>
    <t>Avg Kg/hd</t>
  </si>
  <si>
    <t>Avg $/Kg</t>
  </si>
  <si>
    <t>SUMMARY ANIMAL INFORMATION BY FINANCIAL YEAR (basis for annual stockflow)</t>
  </si>
  <si>
    <t>Start of Period (Jul)</t>
  </si>
  <si>
    <t>End of Period (Jun)</t>
  </si>
  <si>
    <t>Jul 1</t>
  </si>
  <si>
    <t xml:space="preserve"> Financial Year:</t>
  </si>
  <si>
    <t>Jun 30</t>
  </si>
  <si>
    <t>Opening breeding age females</t>
  </si>
  <si>
    <t>Rough Reproductive Rate Calculations</t>
  </si>
  <si>
    <t>Calves Weaned</t>
  </si>
  <si>
    <t>Weaning Rate</t>
  </si>
  <si>
    <t>More Accurate Reproductive Rate Calculations</t>
  </si>
  <si>
    <t>Breeding age females exposed to bull</t>
  </si>
  <si>
    <t>Sales joining to weaning</t>
  </si>
  <si>
    <t>Pregnancy percentage of sales</t>
  </si>
  <si>
    <t>Losses preg to weaning in sales</t>
  </si>
  <si>
    <t>Natural Increase numerator</t>
  </si>
  <si>
    <t>Breeding females denominator</t>
  </si>
  <si>
    <t>Kg Beef/AE</t>
  </si>
  <si>
    <t>Average Sale Weight (kg LW)</t>
  </si>
  <si>
    <t>Quarterly AE</t>
  </si>
  <si>
    <t>Gross Profit/ Kilograms Produced Totals</t>
  </si>
  <si>
    <t>Herd Gross Profit and Kilograms Produced Calculations</t>
  </si>
  <si>
    <t>CHECK</t>
  </si>
  <si>
    <t>Gross Profit/ Kilograms Produced per AE (Total/AE)</t>
  </si>
  <si>
    <t>HERD INVENTORY WEIGHTS AND VALUES</t>
  </si>
  <si>
    <t>Livestock Inventory Values</t>
  </si>
  <si>
    <t>User</t>
  </si>
  <si>
    <t>Animal Equivalent (AE) Ratings</t>
  </si>
  <si>
    <t>Default AE by productivity zone</t>
  </si>
  <si>
    <t>Entered</t>
  </si>
  <si>
    <t>Females @6mths</t>
  </si>
  <si>
    <t>Females @18mths</t>
  </si>
  <si>
    <t>Females @30mths</t>
  </si>
  <si>
    <t>Females 0.5-1.5</t>
  </si>
  <si>
    <t>Females 1.5-2.5</t>
  </si>
  <si>
    <t>Females 2.5-3.5</t>
  </si>
  <si>
    <t>Females 3.5-4.5</t>
  </si>
  <si>
    <t>Females 4.5+</t>
  </si>
  <si>
    <t>Steers 0.5-1.5</t>
  </si>
  <si>
    <t>Steers 1.5-2.5</t>
  </si>
  <si>
    <t>Bulls 0.5-1.5</t>
  </si>
  <si>
    <t>Bulls 1.5-2.5</t>
  </si>
  <si>
    <t>Bulls 2.5-3.5</t>
  </si>
  <si>
    <t>Bulls 3.5+</t>
  </si>
  <si>
    <t>Sex and age</t>
  </si>
  <si>
    <t>Animal Weights</t>
  </si>
  <si>
    <t>Default by productivity zone</t>
  </si>
  <si>
    <t>Steers @6mths</t>
  </si>
  <si>
    <t>Steers @18mths</t>
  </si>
  <si>
    <t>Steers @30mths</t>
  </si>
  <si>
    <t>Bulls @6mths</t>
  </si>
  <si>
    <t>Bulls @18mths</t>
  </si>
  <si>
    <t>Females @ maturity</t>
  </si>
  <si>
    <t>Bulls @ maturity</t>
  </si>
  <si>
    <t>Applied</t>
  </si>
  <si>
    <r>
      <t>Tag Colors</t>
    </r>
    <r>
      <rPr>
        <sz val="11"/>
        <color theme="1"/>
        <rFont val="Calibri"/>
        <family val="2"/>
        <scheme val="minor"/>
      </rPr>
      <t xml:space="preserve"> </t>
    </r>
  </si>
  <si>
    <t>Navigation</t>
  </si>
  <si>
    <t>Use of this tool is at your own risk. Bush AgriBusiness accepts no responsibility whatsoever from its use. Accurate output requires accurate input!</t>
  </si>
  <si>
    <t>Background</t>
  </si>
  <si>
    <t>The animal classes are given for the start and end of the year for reference and users can apply their own class names. The classes are setup to change at anniversary of birth.</t>
  </si>
  <si>
    <t>General Info Tab</t>
  </si>
  <si>
    <t>Some cells have a red triangle in the corner e.g.                          , when you see this, if you hold your mouse over that cell a tip will appear.</t>
  </si>
  <si>
    <t>General Notes</t>
  </si>
  <si>
    <t>HerdFlow Tab</t>
  </si>
  <si>
    <t>Sales Information</t>
  </si>
  <si>
    <t>Purchase Information</t>
  </si>
  <si>
    <t>Reproductive Rate Information</t>
  </si>
  <si>
    <t>Accurate reproductive rate calculations require information on females exposed to bull previous year and pregnancy status of any sales after joining. That information isn't collected here so there is a default calculation using opening breeding age females as the denominator. There is provision for required additional information to be entered to provide a more accurate calculation of reproductive rate.</t>
  </si>
  <si>
    <t>Error Check</t>
  </si>
  <si>
    <t>Inventory Change (Cl-Op)</t>
  </si>
  <si>
    <t>Gross Profit Calculations</t>
  </si>
  <si>
    <t>Kg Prod. Calculation</t>
  </si>
  <si>
    <t>The error check will be highlighted red if, at the end of the year, there are any errors in the spreadsheet or anything doesn't reconcile. If an error is flagged, check data entered for completeness and accuracy (e.g. group, number, hd, weight and price entered for all sales and purchases).</t>
  </si>
  <si>
    <t>Summary Tab</t>
  </si>
  <si>
    <t>This tab summarises all of the information entered, there is no data entered here. Data can be copied from here to be pasted elsewhere, or other workbooks can link to the data here.</t>
  </si>
  <si>
    <t>Annual Herdflow Summary</t>
  </si>
  <si>
    <t>Key Measures</t>
  </si>
  <si>
    <t>Livestock classes</t>
  </si>
  <si>
    <t>The default class names are listed here. If you wish to apply your own class names (which apply from anniversary of birth to anniversary of birth) you can enter them here. Each class name must be unique.</t>
  </si>
  <si>
    <t>The livestock values which influence inventory valuation are entered here. They can be based on percentile of values over last 20years, or can be user entered value.</t>
  </si>
  <si>
    <t>This information should be entered before any herd information entered and not changed. Changing some information, such as brand numbers, will create errors if information has already been entered. 
The productivity zone determines the inventory weights and AE ratings that are applied to your herd and are based on annual liveweight gain of steers. If your steers, on average, gain over 150kg/yr then select 'High' productivity, if they gain 110 to 150 then select 'Medium', if less than 110 then 'Low'.
The applied information from this tab is shown in grey for clarity.</t>
  </si>
  <si>
    <t>Animal ages are based on a summer calving, differences in timing of calving will not have a material impact on results, having accurate numbers by class is more important.</t>
  </si>
  <si>
    <t>Animal Equivalent (AE) Ratings and Weights</t>
  </si>
  <si>
    <t>Summary Animal Information</t>
  </si>
  <si>
    <t>This details the full financial year stockflow, once all data is entered, livestock names at the start of the year and the end of the year are included for reference. It is important to remember that these will be as accurate as the information entered (i.e. ensure all information entered is correct and that herd numbers match what was in paddock before relying on these figures!).</t>
  </si>
  <si>
    <t>Estimated AE by quarter</t>
  </si>
  <si>
    <t>Working on how herd gross profit and kilograms produced calculations</t>
  </si>
  <si>
    <t>Sales Summary</t>
  </si>
  <si>
    <t>Sales totals by group</t>
  </si>
  <si>
    <t>There are lookup tables to the right- don't delete</t>
  </si>
  <si>
    <t>There are lookup tables below, don't delete</t>
  </si>
  <si>
    <t>The data entry cells are all this green                            . Some data entry cells will have an explanation appear when you click on them, with instructions on what to enter into them.</t>
  </si>
  <si>
    <t>Business name, year, productivity, brand #'s, tag colours, class names, AE ratings and inventory weights etc. are detailed here.</t>
  </si>
  <si>
    <t>Tag Colours</t>
  </si>
  <si>
    <t>Default tag colours by year listed, you can enter your own if different.</t>
  </si>
  <si>
    <t>The default AE ratings and weights by productivity zone are listed here, they are based on collated data for regional productivity (Bray et. al. 2015) as detailed in McLennan et al, 2020) User can enter their own weights and AE ratings, but it is recommended that this is only done if calculated using the Bush AgriBusiness AE tool.</t>
  </si>
  <si>
    <t>This is a summary showing the sex, brand #, tag colour, starting age, starting class, closing age, closing class, AE rating and inventory weights applied to each age group. Check this thoroughly before entering data as these are used throughout the HerdFlow.</t>
  </si>
  <si>
    <t>This tool has been developed as a producer resource. It is copyright and may not be altered or copied in anyway without permission</t>
  </si>
  <si>
    <t xml:space="preserve">Animals are tracked by age brand (&amp;/or tag colour), animals do not need to be moved from one class to another (i.e. weaners to steers) as they will be tracked by their brand or tag (e.g. #8 &amp;/or red tag) which does not change over their lifetime. </t>
  </si>
  <si>
    <t>Note that this still has weaners as 0 (as they are included with breeder) so is low, but is correct for annualised rating. We'd need to go to 6 monthly to get more accurate</t>
  </si>
  <si>
    <t>12 MONTHS (Jul to Jun)</t>
  </si>
  <si>
    <t xml:space="preserve"> must = 0</t>
  </si>
  <si>
    <t>Recoveries</t>
  </si>
  <si>
    <t>Bush AgriBusiness Herdflow - Financial Year</t>
  </si>
  <si>
    <t>Average (13 points)</t>
  </si>
  <si>
    <t>Average (12 months)</t>
  </si>
  <si>
    <t>Financial year HerdFlow (Jul-Jun)</t>
  </si>
  <si>
    <t>Information on every sale lot should be entered here. It is important that group (Sex &amp; brand), number of head, average liveweight, month and value be entered here. The information from here will flow through to the herdflow above it.</t>
  </si>
  <si>
    <t>Information on every purchase lot should be entered here. It is important that group (Sex &amp; brand), number of head, average liveweight, month and value, either per head or per kg, be entered here. The information from here will flow through to the herdflow above it.</t>
  </si>
  <si>
    <t>All herd numbers are entered here - the opening numbers by class, the closing numbers, natural increase, recoveries, purchases, sales and deaths.</t>
  </si>
  <si>
    <t>This HerdFlow tool has been developed to help extensive beef producers record and reconcile their herd numbers over a year, and to assist in understanding and improving herd performance.</t>
  </si>
  <si>
    <t>In this section, the numbers on hand at July 1 are entered by class. Any brandings during the year are also entered, either as mixed or by sex. If any are entered as mixed they will need to be transferred to relevant sex during year. There is also provision for natural increase to be added to previous years drop to account for cleanskins.
The recoveries column is only to be used to write back on cattle that had been written off as deaths in previous years. The preference is that the cattle numbers for the previous years are adjusted, rather than including as recoveries here. Recoveries should not exceed 2% of the opening balance of the stock class.
There are separate tables below for entry of details for all sales and purchases. This information is included automatically in the herd flow, based on month of sale/purchase.
Transfers should only be for transferring mixed sex calves to steers or heifers, moving females to speys etc.
Closing numbers on hand at end of June need to be entered here. A closing before deaths is included to help with process but the closing numbers should match as closely as possible what is known to be in the paddock. If they don't show up in the paddocks, kill them off in here! If 'negative deaths' are required to get an age group to balance, then it will be highlighted red in the deaths column.</t>
  </si>
  <si>
    <t>Steers 2.5+</t>
  </si>
  <si>
    <t>The calculated results for herd income (Gross Profit/AE) and key performance indicators. At least three years data should be used to assess herd performance.</t>
  </si>
  <si>
    <t>The Australian Beef Report provides regional</t>
  </si>
  <si>
    <t>comparison data for these measures</t>
  </si>
  <si>
    <t xml:space="preserve">The Business Analyser provides a detailed analysis of </t>
  </si>
  <si>
    <t>your business and herd performance and expresses this</t>
  </si>
  <si>
    <t>relative to the average and top producers in your region.</t>
  </si>
  <si>
    <t xml:space="preserve">       CLICK LOGO'S FOR MORE INFORMATION</t>
  </si>
  <si>
    <r>
      <t>Bush AgriBusiness Herdflow</t>
    </r>
    <r>
      <rPr>
        <sz val="14"/>
        <color theme="1"/>
        <rFont val="Calibri"/>
        <family val="2"/>
        <scheme val="minor"/>
      </rPr>
      <t xml:space="preserve"> (Prototype Public Version v21.13, FY with annual reconciliation)</t>
    </r>
  </si>
  <si>
    <t>Females #9</t>
  </si>
  <si>
    <t>Steers #0</t>
  </si>
  <si>
    <t>Bulls #9</t>
  </si>
  <si>
    <t>/Head</t>
  </si>
  <si>
    <t>Females #7+</t>
  </si>
  <si>
    <t>/kg LW</t>
  </si>
  <si>
    <t>Females #8</t>
  </si>
  <si>
    <t>Steers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</si>
</sst>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164" formatCode="&quot;#&quot;0"/>
    <numFmt numFmtId="165" formatCode="#,##0_ ;[Red]\-#,##0\ "/>
    <numFmt numFmtId="166" formatCode="&quot;$&quot;#,##0.00"/>
    <numFmt numFmtId="167" formatCode="&quot;$&quot;#,##0"/>
    <numFmt numFmtId="168" formatCode="#,##0.0"/>
    <numFmt numFmtId="169" formatCode="mmm\ yy"/>
    <numFmt numFmtId="170" formatCode="0.0%"/>
    <numFmt numFmtId="171" formatCode="&quot;$&quot;#,##0;[Red]\(&quot;$&quot;#,##0\)"/>
    <numFmt numFmtId="172" formatCode="#,##0;[Red]\(#,##0\)"/>
    <numFmt numFmtId="173" formatCode="#,##0.00_ ;[Red]\-#,##0.00\ "/>
  </numFmts>
  <fonts count="34" x14ac:knownFonts="1">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
      <sz val="11"/>
      <color rgb="FFFF0000"/>
      <name val="Calibri"/>
      <family val="2"/>
      <scheme val="minor"/>
    </font>
    <font>
      <sz val="11"/>
      <color theme="0"/>
      <name val="Calibri"/>
      <family val="2"/>
      <scheme val="minor"/>
    </font>
    <font>
      <sz val="11"/>
      <color theme="0" tint="-0.499984740745262"/>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sz val="11"/>
      <color theme="0" tint="-4.9989318521683403E-2"/>
      <name val="Calibri"/>
      <family val="2"/>
      <scheme val="minor"/>
    </font>
    <font>
      <b/>
      <u/>
      <sz val="14"/>
      <color rgb="FF933C06"/>
      <name val="Calibri"/>
      <family val="2"/>
      <scheme val="minor"/>
    </font>
    <font>
      <sz val="9"/>
      <color theme="1"/>
      <name val="Calibri"/>
      <family val="2"/>
      <scheme val="minor"/>
    </font>
    <font>
      <sz val="8"/>
      <name val="Calibri"/>
      <family val="2"/>
      <scheme val="minor"/>
    </font>
    <font>
      <b/>
      <sz val="11"/>
      <color theme="0" tint="-0.499984740745262"/>
      <name val="Calibri"/>
      <family val="2"/>
      <scheme val="minor"/>
    </font>
    <font>
      <b/>
      <sz val="11"/>
      <name val="Calibri"/>
      <family val="2"/>
      <scheme val="minor"/>
    </font>
    <font>
      <sz val="11"/>
      <color rgb="FF000000"/>
      <name val="Calibri"/>
      <family val="2"/>
      <scheme val="minor"/>
    </font>
    <font>
      <b/>
      <sz val="11"/>
      <color rgb="FFFEE4CE"/>
      <name val="Calibri"/>
      <family val="2"/>
      <scheme val="minor"/>
    </font>
    <font>
      <b/>
      <sz val="11"/>
      <color theme="0" tint="-0.249977111117893"/>
      <name val="Calibri"/>
      <family val="2"/>
      <scheme val="minor"/>
    </font>
    <font>
      <sz val="11"/>
      <color theme="0" tint="-0.249977111117893"/>
      <name val="Calibri"/>
      <family val="2"/>
      <scheme val="minor"/>
    </font>
    <font>
      <b/>
      <i/>
      <sz val="10"/>
      <color theme="1"/>
      <name val="Calibri"/>
      <family val="2"/>
      <scheme val="minor"/>
    </font>
    <font>
      <u/>
      <sz val="11"/>
      <color theme="10"/>
      <name val="Calibri"/>
      <family val="2"/>
      <scheme val="minor"/>
    </font>
    <font>
      <b/>
      <u/>
      <sz val="11"/>
      <color theme="10"/>
      <name val="Calibri"/>
      <family val="2"/>
      <scheme val="minor"/>
    </font>
    <font>
      <i/>
      <sz val="11"/>
      <color theme="1"/>
      <name val="Calibri"/>
      <family val="2"/>
      <scheme val="minor"/>
    </font>
    <font>
      <b/>
      <sz val="14"/>
      <name val="Calibri"/>
      <family val="2"/>
      <scheme val="minor"/>
    </font>
    <font>
      <b/>
      <sz val="11"/>
      <color theme="2" tint="-0.499984740745262"/>
      <name val="Calibri"/>
      <family val="2"/>
      <scheme val="minor"/>
    </font>
    <font>
      <sz val="11"/>
      <color theme="2" tint="-0.749992370372631"/>
      <name val="Calibri"/>
      <family val="2"/>
      <scheme val="minor"/>
    </font>
    <font>
      <sz val="14"/>
      <color theme="1"/>
      <name val="Calibri"/>
      <family val="2"/>
      <scheme val="minor"/>
    </font>
    <font>
      <b/>
      <sz val="12"/>
      <color rgb="FF933C06"/>
      <name val="Calibri"/>
      <family val="2"/>
      <scheme val="minor"/>
    </font>
    <font>
      <b/>
      <sz val="11"/>
      <color rgb="FF933C06"/>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7ED6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DC"/>
        <bgColor indexed="64"/>
      </patternFill>
    </fill>
    <fill>
      <patternFill patternType="solid">
        <fgColor rgb="FFFEE4CE"/>
        <bgColor indexed="64"/>
      </patternFill>
    </fill>
    <fill>
      <patternFill patternType="solid">
        <fgColor rgb="FFF0F4AA"/>
        <bgColor indexed="64"/>
      </patternFill>
    </fill>
    <fill>
      <patternFill patternType="solid">
        <fgColor rgb="FFFAB082"/>
        <bgColor indexed="64"/>
      </patternFill>
    </fill>
  </fills>
  <borders count="13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theme="0" tint="-0.499984740745262"/>
      </right>
      <top style="thin">
        <color auto="1"/>
      </top>
      <bottom style="thin">
        <color auto="1"/>
      </bottom>
      <diagonal/>
    </border>
    <border>
      <left style="thin">
        <color theme="0" tint="-0.499984740745262"/>
      </left>
      <right/>
      <top style="thin">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auto="1"/>
      </right>
      <top style="thin">
        <color auto="1"/>
      </top>
      <bottom style="thin">
        <color auto="1"/>
      </bottom>
      <diagonal/>
    </border>
    <border>
      <left style="thin">
        <color auto="1"/>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auto="1"/>
      </right>
      <top/>
      <bottom/>
      <diagonal/>
    </border>
    <border>
      <left style="thin">
        <color theme="0" tint="-0.499984740745262"/>
      </left>
      <right style="thin">
        <color theme="0" tint="-0.499984740745262"/>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499984740745262"/>
      </right>
      <top style="thin">
        <color auto="1"/>
      </top>
      <bottom style="thin">
        <color theme="0" tint="-0.24994659260841701"/>
      </bottom>
      <diagonal/>
    </border>
    <border>
      <left style="thin">
        <color theme="0" tint="-0.499984740745262"/>
      </left>
      <right/>
      <top style="thin">
        <color auto="1"/>
      </top>
      <bottom style="thin">
        <color theme="0" tint="-0.24994659260841701"/>
      </bottom>
      <diagonal/>
    </border>
    <border>
      <left style="thin">
        <color theme="0" tint="-0.499984740745262"/>
      </left>
      <right style="thin">
        <color theme="0" tint="-0.499984740745262"/>
      </right>
      <top style="thin">
        <color auto="1"/>
      </top>
      <bottom style="thin">
        <color theme="0" tint="-0.24994659260841701"/>
      </bottom>
      <diagonal/>
    </border>
    <border>
      <left style="thin">
        <color theme="0" tint="-0.499984740745262"/>
      </left>
      <right style="thin">
        <color auto="1"/>
      </right>
      <top style="thin">
        <color auto="1"/>
      </top>
      <bottom style="thin">
        <color theme="0" tint="-0.24994659260841701"/>
      </bottom>
      <diagonal/>
    </border>
    <border>
      <left style="thin">
        <color auto="1"/>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style="thin">
        <color theme="0" tint="-0.499984740745262"/>
      </left>
      <right style="thin">
        <color auto="1"/>
      </right>
      <top style="thin">
        <color theme="0" tint="-0.24994659260841701"/>
      </top>
      <bottom style="thin">
        <color theme="0" tint="-0.24994659260841701"/>
      </bottom>
      <diagonal/>
    </border>
    <border>
      <left style="thin">
        <color auto="1"/>
      </left>
      <right style="thin">
        <color theme="0" tint="-0.499984740745262"/>
      </right>
      <top style="thin">
        <color theme="0" tint="-0.24994659260841701"/>
      </top>
      <bottom style="thin">
        <color auto="1"/>
      </bottom>
      <diagonal/>
    </border>
    <border>
      <left style="thin">
        <color theme="0" tint="-0.499984740745262"/>
      </left>
      <right/>
      <top style="thin">
        <color theme="0" tint="-0.24994659260841701"/>
      </top>
      <bottom style="thin">
        <color auto="1"/>
      </bottom>
      <diagonal/>
    </border>
    <border>
      <left style="thin">
        <color theme="0" tint="-0.499984740745262"/>
      </left>
      <right style="thin">
        <color theme="0" tint="-0.499984740745262"/>
      </right>
      <top style="thin">
        <color theme="0" tint="-0.24994659260841701"/>
      </top>
      <bottom style="thin">
        <color auto="1"/>
      </bottom>
      <diagonal/>
    </border>
    <border>
      <left style="thin">
        <color theme="0" tint="-0.499984740745262"/>
      </left>
      <right style="thin">
        <color auto="1"/>
      </right>
      <top style="thin">
        <color theme="0" tint="-0.2499465926084170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theme="0" tint="-0.499984740745262"/>
      </left>
      <right style="medium">
        <color auto="1"/>
      </right>
      <top/>
      <bottom style="thin">
        <color auto="1"/>
      </bottom>
      <diagonal/>
    </border>
    <border>
      <left style="medium">
        <color auto="1"/>
      </left>
      <right style="thin">
        <color theme="0" tint="-0.499984740745262"/>
      </right>
      <top/>
      <bottom style="thin">
        <color auto="1"/>
      </bottom>
      <diagonal/>
    </border>
    <border>
      <left style="thin">
        <color theme="0" tint="-0.499984740745262"/>
      </left>
      <right style="medium">
        <color auto="1"/>
      </right>
      <top/>
      <bottom/>
      <diagonal/>
    </border>
    <border>
      <left style="medium">
        <color auto="1"/>
      </left>
      <right style="thin">
        <color theme="0" tint="-0.499984740745262"/>
      </right>
      <top/>
      <bottom/>
      <diagonal/>
    </border>
    <border>
      <left style="medium">
        <color rgb="FFFF0000"/>
      </left>
      <right style="medium">
        <color rgb="FFFF0000"/>
      </right>
      <top style="medium">
        <color rgb="FFFF0000"/>
      </top>
      <bottom style="medium">
        <color rgb="FFFF0000"/>
      </bottom>
      <diagonal/>
    </border>
    <border>
      <left style="thin">
        <color theme="0" tint="-0.499984740745262"/>
      </left>
      <right style="medium">
        <color auto="1"/>
      </right>
      <top style="thin">
        <color auto="1"/>
      </top>
      <bottom/>
      <diagonal/>
    </border>
    <border>
      <left style="medium">
        <color auto="1"/>
      </left>
      <right style="thin">
        <color theme="0" tint="-0.499984740745262"/>
      </right>
      <top style="thin">
        <color auto="1"/>
      </top>
      <bottom/>
      <diagonal/>
    </border>
    <border>
      <left style="thin">
        <color theme="0" tint="-0.499984740745262"/>
      </left>
      <right style="medium">
        <color auto="1"/>
      </right>
      <top style="medium">
        <color auto="1"/>
      </top>
      <bottom style="thin">
        <color auto="1"/>
      </bottom>
      <diagonal/>
    </border>
    <border>
      <left style="thin">
        <color theme="0" tint="-0.499984740745262"/>
      </left>
      <right style="thin">
        <color theme="0" tint="-0.499984740745262"/>
      </right>
      <top style="medium">
        <color auto="1"/>
      </top>
      <bottom style="thin">
        <color auto="1"/>
      </bottom>
      <diagonal/>
    </border>
    <border>
      <left style="medium">
        <color auto="1"/>
      </left>
      <right style="thin">
        <color theme="0" tint="-0.499984740745262"/>
      </right>
      <top style="medium">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theme="0" tint="-0.499984740745262"/>
      </left>
      <right style="thin">
        <color auto="1"/>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bottom style="thin">
        <color theme="0" tint="-0.499984740745262"/>
      </bottom>
      <diagonal/>
    </border>
    <border>
      <left style="thin">
        <color auto="1"/>
      </left>
      <right style="thin">
        <color auto="1"/>
      </right>
      <top/>
      <bottom style="thin">
        <color theme="0" tint="-0.24994659260841701"/>
      </bottom>
      <diagonal/>
    </border>
    <border>
      <left style="thin">
        <color auto="1"/>
      </left>
      <right style="thin">
        <color auto="1"/>
      </right>
      <top style="thin">
        <color theme="0" tint="-0.24994659260841701"/>
      </top>
      <bottom/>
      <diagonal/>
    </border>
    <border>
      <left style="thin">
        <color auto="1"/>
      </left>
      <right style="thin">
        <color auto="1"/>
      </right>
      <top/>
      <bottom style="thin">
        <color theme="0" tint="-0.499984740745262"/>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auto="1"/>
      </top>
      <bottom style="thin">
        <color rgb="FFFF0000"/>
      </bottom>
      <diagonal/>
    </border>
    <border>
      <left style="thin">
        <color theme="0" tint="-0.499984740745262"/>
      </left>
      <right style="thin">
        <color auto="1"/>
      </right>
      <top style="thin">
        <color auto="1"/>
      </top>
      <bottom/>
      <diagonal/>
    </border>
    <border>
      <left style="thin">
        <color auto="1"/>
      </left>
      <right style="thin">
        <color theme="0" tint="-0.499984740745262"/>
      </right>
      <top/>
      <bottom style="thin">
        <color auto="1"/>
      </bottom>
      <diagonal/>
    </border>
    <border>
      <left style="thin">
        <color theme="0" tint="-0.499984740745262"/>
      </left>
      <right style="thin">
        <color auto="1"/>
      </right>
      <top/>
      <bottom style="thin">
        <color auto="1"/>
      </bottom>
      <diagonal/>
    </border>
    <border>
      <left style="thin">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style="thin">
        <color auto="1"/>
      </left>
      <right style="thin">
        <color auto="1"/>
      </right>
      <top/>
      <bottom style="hair">
        <color auto="1"/>
      </bottom>
      <diagonal/>
    </border>
    <border>
      <left style="thin">
        <color auto="1"/>
      </left>
      <right style="thin">
        <color auto="1"/>
      </right>
      <top style="thin">
        <color theme="0" tint="-0.499984740745262"/>
      </top>
      <bottom/>
      <diagonal/>
    </border>
    <border>
      <left style="thin">
        <color auto="1"/>
      </left>
      <right/>
      <top style="thin">
        <color theme="0" tint="-0.499984740745262"/>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indexed="64"/>
      </right>
      <top/>
      <bottom style="medium">
        <color indexed="64"/>
      </bottom>
      <diagonal/>
    </border>
    <border>
      <left/>
      <right style="thin">
        <color auto="1"/>
      </right>
      <top/>
      <bottom style="medium">
        <color auto="1"/>
      </bottom>
      <diagonal/>
    </border>
    <border>
      <left style="medium">
        <color auto="1"/>
      </left>
      <right/>
      <top/>
      <bottom style="medium">
        <color rgb="FFFF0000"/>
      </bottom>
      <diagonal/>
    </border>
    <border>
      <left/>
      <right style="medium">
        <color auto="1"/>
      </right>
      <top/>
      <bottom style="medium">
        <color rgb="FFFF0000"/>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medium">
        <color indexed="64"/>
      </top>
      <bottom/>
      <diagonal/>
    </border>
    <border>
      <left style="thin">
        <color auto="1"/>
      </left>
      <right style="thin">
        <color auto="1"/>
      </right>
      <top style="medium">
        <color indexed="64"/>
      </top>
      <bottom style="thin">
        <color auto="1"/>
      </bottom>
      <diagonal/>
    </border>
  </borders>
  <cellStyleXfs count="2">
    <xf numFmtId="0" fontId="0" fillId="0" borderId="0"/>
    <xf numFmtId="0" fontId="25" fillId="0" borderId="0" applyNumberFormat="0" applyFill="0" applyBorder="0" applyAlignment="0" applyProtection="0"/>
  </cellStyleXfs>
  <cellXfs count="577">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6" xfId="0" applyBorder="1"/>
    <xf numFmtId="0" fontId="0" fillId="0" borderId="5" xfId="0" applyBorder="1"/>
    <xf numFmtId="0" fontId="0" fillId="3" borderId="0" xfId="0" applyFill="1"/>
    <xf numFmtId="0" fontId="1" fillId="3" borderId="0" xfId="0" applyFont="1" applyFill="1"/>
    <xf numFmtId="0" fontId="0" fillId="3" borderId="0" xfId="0" applyFill="1" applyAlignment="1">
      <alignment wrapText="1"/>
    </xf>
    <xf numFmtId="0" fontId="0" fillId="0" borderId="15" xfId="0" applyBorder="1"/>
    <xf numFmtId="0" fontId="1" fillId="5" borderId="13" xfId="0" applyFont="1" applyFill="1" applyBorder="1"/>
    <xf numFmtId="0" fontId="0" fillId="5" borderId="13" xfId="0" applyFill="1" applyBorder="1" applyAlignment="1">
      <alignment vertical="top"/>
    </xf>
    <xf numFmtId="0" fontId="0" fillId="5" borderId="3" xfId="0" applyFill="1" applyBorder="1"/>
    <xf numFmtId="0" fontId="0" fillId="5" borderId="5" xfId="0" applyFill="1" applyBorder="1"/>
    <xf numFmtId="0" fontId="8" fillId="0" borderId="0" xfId="0" applyFont="1" applyFill="1" applyAlignment="1">
      <alignment horizontal="left"/>
    </xf>
    <xf numFmtId="0" fontId="0" fillId="0" borderId="0" xfId="0" applyFill="1"/>
    <xf numFmtId="0" fontId="0" fillId="5" borderId="1" xfId="0" applyFill="1" applyBorder="1"/>
    <xf numFmtId="0" fontId="1" fillId="0" borderId="0" xfId="0" applyFont="1" applyFill="1"/>
    <xf numFmtId="0" fontId="1" fillId="0" borderId="0" xfId="0" applyFont="1" applyFill="1" applyAlignment="1">
      <alignment horizontal="left"/>
    </xf>
    <xf numFmtId="0" fontId="0" fillId="0" borderId="1" xfId="0" applyFill="1" applyBorder="1" applyAlignment="1">
      <alignment horizontal="right"/>
    </xf>
    <xf numFmtId="0" fontId="0" fillId="0" borderId="2" xfId="0" applyFill="1" applyBorder="1"/>
    <xf numFmtId="0" fontId="0" fillId="0" borderId="3" xfId="0" applyFill="1" applyBorder="1" applyAlignment="1">
      <alignment horizontal="right"/>
    </xf>
    <xf numFmtId="0" fontId="0" fillId="0" borderId="5" xfId="0" applyFill="1" applyBorder="1" applyAlignment="1">
      <alignment horizontal="right"/>
    </xf>
    <xf numFmtId="0" fontId="0" fillId="0" borderId="4" xfId="0" applyFill="1" applyBorder="1"/>
    <xf numFmtId="0" fontId="0" fillId="0" borderId="6" xfId="0" applyFill="1" applyBorder="1"/>
    <xf numFmtId="0" fontId="0" fillId="0" borderId="0" xfId="0" applyProtection="1">
      <protection hidden="1"/>
    </xf>
    <xf numFmtId="165" fontId="1" fillId="5" borderId="61" xfId="0" applyNumberFormat="1" applyFont="1" applyFill="1" applyBorder="1"/>
    <xf numFmtId="6" fontId="1" fillId="5" borderId="62" xfId="0" applyNumberFormat="1" applyFont="1" applyFill="1" applyBorder="1"/>
    <xf numFmtId="8" fontId="1" fillId="5" borderId="62" xfId="0" applyNumberFormat="1" applyFont="1" applyFill="1" applyBorder="1"/>
    <xf numFmtId="0" fontId="0" fillId="5" borderId="62" xfId="0" applyFill="1" applyBorder="1"/>
    <xf numFmtId="3" fontId="1" fillId="5" borderId="62" xfId="0" applyNumberFormat="1" applyFont="1" applyFill="1" applyBorder="1"/>
    <xf numFmtId="0" fontId="0" fillId="5" borderId="63" xfId="0" applyFill="1" applyBorder="1"/>
    <xf numFmtId="3" fontId="0" fillId="0" borderId="14" xfId="0" applyNumberFormat="1" applyBorder="1" applyProtection="1">
      <protection hidden="1"/>
    </xf>
    <xf numFmtId="3" fontId="0" fillId="0" borderId="17" xfId="0" applyNumberFormat="1" applyBorder="1" applyProtection="1">
      <protection hidden="1"/>
    </xf>
    <xf numFmtId="0" fontId="0" fillId="0" borderId="13" xfId="0" applyBorder="1" applyProtection="1">
      <protection hidden="1"/>
    </xf>
    <xf numFmtId="3" fontId="0" fillId="0" borderId="4" xfId="0" applyNumberFormat="1" applyBorder="1" applyProtection="1">
      <protection hidden="1"/>
    </xf>
    <xf numFmtId="3" fontId="0" fillId="0" borderId="0" xfId="0" applyNumberFormat="1" applyProtection="1">
      <protection hidden="1"/>
    </xf>
    <xf numFmtId="0" fontId="0" fillId="0" borderId="3" xfId="0" applyBorder="1" applyProtection="1">
      <protection hidden="1"/>
    </xf>
    <xf numFmtId="3" fontId="0" fillId="0" borderId="2" xfId="0" applyNumberFormat="1" applyBorder="1" applyProtection="1">
      <protection hidden="1"/>
    </xf>
    <xf numFmtId="3" fontId="0" fillId="0" borderId="8" xfId="0" applyNumberFormat="1" applyBorder="1" applyProtection="1">
      <protection hidden="1"/>
    </xf>
    <xf numFmtId="0" fontId="0" fillId="0" borderId="1" xfId="0" applyBorder="1" applyProtection="1">
      <protection hidden="1"/>
    </xf>
    <xf numFmtId="0" fontId="0" fillId="0" borderId="7" xfId="0" applyBorder="1" applyProtection="1">
      <protection hidden="1"/>
    </xf>
    <xf numFmtId="0" fontId="1" fillId="0" borderId="0" xfId="0" applyFont="1" applyProtection="1">
      <protection hidden="1"/>
    </xf>
    <xf numFmtId="3" fontId="1" fillId="0" borderId="6" xfId="0" applyNumberFormat="1" applyFont="1" applyBorder="1" applyProtection="1">
      <protection hidden="1"/>
    </xf>
    <xf numFmtId="3" fontId="0" fillId="0" borderId="6" xfId="0" applyNumberFormat="1" applyBorder="1" applyProtection="1">
      <protection hidden="1"/>
    </xf>
    <xf numFmtId="3" fontId="0" fillId="0" borderId="7" xfId="0" applyNumberFormat="1" applyBorder="1" applyProtection="1">
      <protection hidden="1"/>
    </xf>
    <xf numFmtId="3" fontId="0" fillId="0" borderId="5" xfId="0" applyNumberFormat="1" applyBorder="1" applyProtection="1">
      <protection hidden="1"/>
    </xf>
    <xf numFmtId="0" fontId="0" fillId="0" borderId="16" xfId="0" applyBorder="1" applyProtection="1">
      <protection hidden="1"/>
    </xf>
    <xf numFmtId="167" fontId="1" fillId="0" borderId="4" xfId="0" applyNumberFormat="1" applyFont="1" applyBorder="1" applyProtection="1">
      <protection hidden="1"/>
    </xf>
    <xf numFmtId="167" fontId="0" fillId="0" borderId="4" xfId="0" applyNumberFormat="1" applyBorder="1" applyProtection="1">
      <protection hidden="1"/>
    </xf>
    <xf numFmtId="167" fontId="0" fillId="0" borderId="0" xfId="0" applyNumberFormat="1" applyProtection="1">
      <protection hidden="1"/>
    </xf>
    <xf numFmtId="167" fontId="0" fillId="0" borderId="3" xfId="0" applyNumberFormat="1" applyBorder="1" applyProtection="1">
      <protection hidden="1"/>
    </xf>
    <xf numFmtId="0" fontId="0" fillId="0" borderId="12" xfId="0" applyBorder="1" applyProtection="1">
      <protection hidden="1"/>
    </xf>
    <xf numFmtId="0" fontId="1" fillId="0" borderId="2" xfId="0" applyFont="1" applyBorder="1" applyProtection="1">
      <protection hidden="1"/>
    </xf>
    <xf numFmtId="0" fontId="0" fillId="0" borderId="2" xfId="0" applyBorder="1" applyProtection="1">
      <protection hidden="1"/>
    </xf>
    <xf numFmtId="0" fontId="0" fillId="0" borderId="8" xfId="0" applyBorder="1" applyProtection="1">
      <protection hidden="1"/>
    </xf>
    <xf numFmtId="0" fontId="0" fillId="0" borderId="15" xfId="0" applyBorder="1" applyProtection="1">
      <protection hidden="1"/>
    </xf>
    <xf numFmtId="1" fontId="1" fillId="0" borderId="6" xfId="0" applyNumberFormat="1" applyFont="1" applyBorder="1" applyProtection="1">
      <protection hidden="1"/>
    </xf>
    <xf numFmtId="1" fontId="0" fillId="0" borderId="6" xfId="0" applyNumberFormat="1" applyBorder="1" applyProtection="1">
      <protection hidden="1"/>
    </xf>
    <xf numFmtId="1" fontId="0" fillId="0" borderId="7" xfId="0" applyNumberFormat="1" applyBorder="1" applyProtection="1">
      <protection hidden="1"/>
    </xf>
    <xf numFmtId="1" fontId="0" fillId="0" borderId="5" xfId="0" applyNumberFormat="1" applyBorder="1" applyProtection="1">
      <protection hidden="1"/>
    </xf>
    <xf numFmtId="8" fontId="1" fillId="0" borderId="4" xfId="0" applyNumberFormat="1" applyFont="1" applyBorder="1" applyProtection="1">
      <protection hidden="1"/>
    </xf>
    <xf numFmtId="8" fontId="0" fillId="0" borderId="4" xfId="0" applyNumberFormat="1" applyBorder="1" applyProtection="1">
      <protection hidden="1"/>
    </xf>
    <xf numFmtId="8" fontId="0" fillId="0" borderId="0" xfId="0" applyNumberFormat="1" applyProtection="1">
      <protection hidden="1"/>
    </xf>
    <xf numFmtId="8" fontId="0" fillId="0" borderId="3" xfId="0" applyNumberFormat="1" applyBorder="1" applyProtection="1">
      <protection hidden="1"/>
    </xf>
    <xf numFmtId="3" fontId="1" fillId="0" borderId="4" xfId="0" applyNumberFormat="1" applyFont="1" applyBorder="1" applyProtection="1">
      <protection hidden="1"/>
    </xf>
    <xf numFmtId="3" fontId="0" fillId="0" borderId="3" xfId="0" applyNumberFormat="1" applyBorder="1" applyProtection="1">
      <protection hidden="1"/>
    </xf>
    <xf numFmtId="3" fontId="0" fillId="0" borderId="39" xfId="0" applyNumberFormat="1" applyBorder="1" applyProtection="1">
      <protection hidden="1"/>
    </xf>
    <xf numFmtId="3" fontId="0" fillId="0" borderId="38" xfId="0" applyNumberFormat="1" applyBorder="1" applyProtection="1">
      <protection hidden="1"/>
    </xf>
    <xf numFmtId="0" fontId="0" fillId="0" borderId="37" xfId="0" applyBorder="1" applyProtection="1">
      <protection hidden="1"/>
    </xf>
    <xf numFmtId="3" fontId="0" fillId="0" borderId="36" xfId="0" applyNumberFormat="1" applyBorder="1" applyProtection="1">
      <protection hidden="1"/>
    </xf>
    <xf numFmtId="3" fontId="0" fillId="0" borderId="35" xfId="0" applyNumberFormat="1" applyBorder="1" applyProtection="1">
      <protection hidden="1"/>
    </xf>
    <xf numFmtId="0" fontId="0" fillId="0" borderId="34" xfId="0" applyBorder="1" applyProtection="1">
      <protection hidden="1"/>
    </xf>
    <xf numFmtId="165" fontId="1" fillId="4" borderId="74" xfId="0" applyNumberFormat="1" applyFont="1" applyFill="1" applyBorder="1"/>
    <xf numFmtId="6" fontId="1" fillId="4" borderId="75" xfId="0" applyNumberFormat="1" applyFont="1" applyFill="1" applyBorder="1"/>
    <xf numFmtId="8" fontId="1" fillId="4" borderId="75" xfId="0" applyNumberFormat="1" applyFont="1" applyFill="1" applyBorder="1"/>
    <xf numFmtId="0" fontId="0" fillId="4" borderId="75" xfId="0" applyFill="1" applyBorder="1"/>
    <xf numFmtId="3" fontId="1" fillId="4" borderId="75" xfId="0" applyNumberFormat="1" applyFont="1" applyFill="1" applyBorder="1"/>
    <xf numFmtId="0" fontId="0" fillId="4" borderId="76" xfId="0" applyFill="1" applyBorder="1"/>
    <xf numFmtId="0" fontId="0" fillId="0" borderId="21" xfId="0" applyBorder="1" applyProtection="1">
      <protection hidden="1"/>
    </xf>
    <xf numFmtId="0" fontId="0" fillId="0" borderId="20" xfId="0" applyBorder="1" applyProtection="1">
      <protection hidden="1"/>
    </xf>
    <xf numFmtId="0" fontId="1" fillId="0" borderId="31" xfId="0" applyFont="1" applyBorder="1" applyProtection="1">
      <protection hidden="1"/>
    </xf>
    <xf numFmtId="0" fontId="1" fillId="8" borderId="68" xfId="0" applyFont="1" applyFill="1" applyBorder="1" applyAlignment="1">
      <alignment horizontal="center"/>
    </xf>
    <xf numFmtId="3" fontId="1" fillId="0" borderId="0" xfId="0" applyNumberFormat="1" applyFont="1" applyProtection="1">
      <protection hidden="1"/>
    </xf>
    <xf numFmtId="167" fontId="0" fillId="0" borderId="39" xfId="0" applyNumberFormat="1" applyBorder="1" applyProtection="1">
      <protection hidden="1"/>
    </xf>
    <xf numFmtId="167" fontId="0" fillId="0" borderId="38" xfId="0" applyNumberFormat="1" applyBorder="1" applyProtection="1">
      <protection hidden="1"/>
    </xf>
    <xf numFmtId="167" fontId="0" fillId="0" borderId="36" xfId="0" applyNumberFormat="1" applyBorder="1" applyProtection="1">
      <protection hidden="1"/>
    </xf>
    <xf numFmtId="167" fontId="0" fillId="0" borderId="35" xfId="0" applyNumberFormat="1" applyBorder="1" applyProtection="1">
      <protection hidden="1"/>
    </xf>
    <xf numFmtId="3" fontId="1" fillId="4" borderId="77" xfId="0" applyNumberFormat="1" applyFont="1" applyFill="1" applyBorder="1"/>
    <xf numFmtId="3" fontId="1" fillId="4" borderId="78" xfId="0" applyNumberFormat="1" applyFont="1" applyFill="1" applyBorder="1"/>
    <xf numFmtId="3" fontId="1" fillId="4" borderId="81" xfId="0" applyNumberFormat="1" applyFont="1" applyFill="1" applyBorder="1"/>
    <xf numFmtId="3" fontId="1" fillId="4" borderId="79" xfId="0" applyNumberFormat="1" applyFont="1" applyFill="1" applyBorder="1"/>
    <xf numFmtId="3" fontId="1" fillId="4" borderId="82" xfId="0" applyNumberFormat="1" applyFont="1" applyFill="1" applyBorder="1"/>
    <xf numFmtId="3" fontId="12" fillId="7" borderId="12" xfId="0" applyNumberFormat="1" applyFont="1" applyFill="1" applyBorder="1" applyAlignment="1">
      <alignment horizontal="right" indent="1"/>
    </xf>
    <xf numFmtId="3" fontId="12" fillId="7" borderId="15" xfId="0" applyNumberFormat="1" applyFont="1" applyFill="1" applyBorder="1" applyAlignment="1">
      <alignment horizontal="right" indent="1"/>
    </xf>
    <xf numFmtId="0" fontId="0" fillId="0" borderId="39" xfId="0" applyBorder="1" applyProtection="1">
      <protection hidden="1"/>
    </xf>
    <xf numFmtId="0" fontId="0" fillId="0" borderId="38" xfId="0" applyBorder="1" applyProtection="1">
      <protection hidden="1"/>
    </xf>
    <xf numFmtId="3" fontId="12" fillId="7" borderId="16" xfId="0" applyNumberFormat="1" applyFont="1" applyFill="1" applyBorder="1" applyAlignment="1">
      <alignment horizontal="right" indent="1"/>
    </xf>
    <xf numFmtId="0" fontId="0" fillId="0" borderId="36" xfId="0" applyBorder="1" applyProtection="1">
      <protection hidden="1"/>
    </xf>
    <xf numFmtId="0" fontId="0" fillId="0" borderId="35" xfId="0" applyBorder="1" applyProtection="1">
      <protection hidden="1"/>
    </xf>
    <xf numFmtId="3" fontId="0" fillId="5" borderId="91" xfId="0" applyNumberFormat="1" applyFill="1" applyBorder="1" applyAlignment="1">
      <alignment horizontal="right"/>
    </xf>
    <xf numFmtId="3" fontId="12" fillId="7" borderId="9" xfId="0" applyNumberFormat="1" applyFont="1" applyFill="1" applyBorder="1" applyAlignment="1">
      <alignment horizontal="right" indent="1"/>
    </xf>
    <xf numFmtId="3" fontId="12" fillId="7" borderId="9" xfId="0" applyNumberFormat="1" applyFont="1" applyFill="1" applyBorder="1" applyAlignment="1">
      <alignment horizontal="right" vertical="top" wrapText="1" indent="1"/>
    </xf>
    <xf numFmtId="0" fontId="0" fillId="0" borderId="97" xfId="0" applyBorder="1" applyProtection="1">
      <protection hidden="1"/>
    </xf>
    <xf numFmtId="0" fontId="0" fillId="0" borderId="98" xfId="0" applyBorder="1" applyProtection="1">
      <protection hidden="1"/>
    </xf>
    <xf numFmtId="0" fontId="0" fillId="0" borderId="99" xfId="0" applyBorder="1" applyProtection="1">
      <protection hidden="1"/>
    </xf>
    <xf numFmtId="0" fontId="1" fillId="0" borderId="18" xfId="0" applyFont="1" applyBorder="1" applyProtection="1">
      <protection hidden="1"/>
    </xf>
    <xf numFmtId="0" fontId="2" fillId="0" borderId="0" xfId="0" applyFont="1" applyProtection="1">
      <protection hidden="1"/>
    </xf>
    <xf numFmtId="0" fontId="0" fillId="6" borderId="0" xfId="0" applyFill="1"/>
    <xf numFmtId="3" fontId="0" fillId="6" borderId="0" xfId="0" applyNumberFormat="1" applyFill="1"/>
    <xf numFmtId="0" fontId="1" fillId="6" borderId="7" xfId="0" applyFont="1" applyFill="1" applyBorder="1"/>
    <xf numFmtId="0" fontId="1" fillId="6" borderId="0" xfId="0" applyFont="1" applyFill="1"/>
    <xf numFmtId="0" fontId="9" fillId="6" borderId="0" xfId="0" applyFont="1" applyFill="1" applyAlignment="1">
      <alignment horizontal="right"/>
    </xf>
    <xf numFmtId="0" fontId="16" fillId="6" borderId="0" xfId="0" applyFont="1" applyFill="1"/>
    <xf numFmtId="0" fontId="0" fillId="0" borderId="12" xfId="0" applyBorder="1"/>
    <xf numFmtId="0" fontId="0" fillId="0" borderId="16" xfId="0" applyBorder="1"/>
    <xf numFmtId="0" fontId="1" fillId="0" borderId="9" xfId="0" applyFont="1" applyBorder="1"/>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33" xfId="0" applyBorder="1" applyProtection="1">
      <protection hidden="1"/>
    </xf>
    <xf numFmtId="2" fontId="0" fillId="0" borderId="15" xfId="0" applyNumberFormat="1" applyBorder="1" applyProtection="1">
      <protection hidden="1"/>
    </xf>
    <xf numFmtId="0" fontId="9" fillId="0" borderId="0" xfId="0" applyFont="1" applyBorder="1" applyAlignment="1" applyProtection="1">
      <alignment horizontal="right"/>
      <protection hidden="1"/>
    </xf>
    <xf numFmtId="0" fontId="0" fillId="0" borderId="28" xfId="0" applyBorder="1" applyProtection="1">
      <protection hidden="1"/>
    </xf>
    <xf numFmtId="1" fontId="0" fillId="0" borderId="15" xfId="0" applyNumberFormat="1" applyBorder="1" applyProtection="1">
      <protection hidden="1"/>
    </xf>
    <xf numFmtId="2" fontId="0" fillId="0" borderId="10" xfId="0" applyNumberFormat="1" applyBorder="1" applyProtection="1">
      <protection hidden="1"/>
    </xf>
    <xf numFmtId="1" fontId="0" fillId="0" borderId="10" xfId="0" applyNumberFormat="1" applyBorder="1" applyProtection="1">
      <protection hidden="1"/>
    </xf>
    <xf numFmtId="2" fontId="0" fillId="0" borderId="30" xfId="0" applyNumberFormat="1" applyBorder="1" applyProtection="1">
      <protection hidden="1"/>
    </xf>
    <xf numFmtId="1" fontId="0" fillId="0" borderId="30" xfId="0" applyNumberFormat="1" applyBorder="1" applyProtection="1">
      <protection hidden="1"/>
    </xf>
    <xf numFmtId="2" fontId="0" fillId="0" borderId="11" xfId="0" applyNumberFormat="1" applyBorder="1" applyProtection="1">
      <protection hidden="1"/>
    </xf>
    <xf numFmtId="1" fontId="0" fillId="0" borderId="11" xfId="0" applyNumberFormat="1" applyBorder="1" applyProtection="1">
      <protection hidden="1"/>
    </xf>
    <xf numFmtId="2" fontId="0" fillId="0" borderId="102" xfId="0" applyNumberFormat="1" applyBorder="1" applyProtection="1">
      <protection hidden="1"/>
    </xf>
    <xf numFmtId="1" fontId="0" fillId="0" borderId="102" xfId="0" applyNumberFormat="1" applyBorder="1" applyProtection="1">
      <protection hidden="1"/>
    </xf>
    <xf numFmtId="0" fontId="0" fillId="0" borderId="18" xfId="0" applyBorder="1" applyProtection="1">
      <protection hidden="1"/>
    </xf>
    <xf numFmtId="2" fontId="0" fillId="0" borderId="9" xfId="0" applyNumberFormat="1" applyBorder="1" applyProtection="1">
      <protection hidden="1"/>
    </xf>
    <xf numFmtId="1" fontId="0" fillId="0" borderId="9" xfId="0" applyNumberFormat="1" applyBorder="1" applyProtection="1">
      <protection hidden="1"/>
    </xf>
    <xf numFmtId="0" fontId="0" fillId="0" borderId="0" xfId="0" applyAlignment="1" applyProtection="1">
      <alignment horizontal="right"/>
      <protection hidden="1"/>
    </xf>
    <xf numFmtId="0" fontId="0" fillId="0" borderId="8" xfId="0" applyBorder="1" applyAlignment="1" applyProtection="1">
      <alignment horizontal="right"/>
      <protection hidden="1"/>
    </xf>
    <xf numFmtId="3" fontId="1" fillId="0" borderId="7" xfId="0" applyNumberFormat="1" applyFont="1" applyBorder="1" applyProtection="1">
      <protection hidden="1"/>
    </xf>
    <xf numFmtId="0" fontId="8" fillId="0" borderId="0" xfId="0" applyFont="1" applyFill="1" applyAlignment="1">
      <alignment horizontal="center"/>
    </xf>
    <xf numFmtId="169" fontId="8" fillId="0" borderId="0" xfId="0" applyNumberFormat="1" applyFont="1" applyFill="1" applyAlignment="1">
      <alignment horizontal="left"/>
    </xf>
    <xf numFmtId="0" fontId="0" fillId="7" borderId="92" xfId="0" applyFill="1" applyBorder="1"/>
    <xf numFmtId="0" fontId="0" fillId="7" borderId="9" xfId="0" applyFill="1" applyBorder="1"/>
    <xf numFmtId="0" fontId="0" fillId="7" borderId="84" xfId="0" applyFill="1" applyBorder="1"/>
    <xf numFmtId="0" fontId="0" fillId="7" borderId="12" xfId="0" applyFill="1" applyBorder="1"/>
    <xf numFmtId="0" fontId="0" fillId="7" borderId="16" xfId="0" applyFill="1" applyBorder="1"/>
    <xf numFmtId="0" fontId="0" fillId="7" borderId="90" xfId="0" applyFill="1" applyBorder="1"/>
    <xf numFmtId="0" fontId="0" fillId="7" borderId="88" xfId="0" applyFill="1" applyBorder="1"/>
    <xf numFmtId="0" fontId="0" fillId="7" borderId="15" xfId="0" applyFill="1" applyBorder="1"/>
    <xf numFmtId="0" fontId="0" fillId="7" borderId="86" xfId="0" applyFill="1" applyBorder="1"/>
    <xf numFmtId="0" fontId="0" fillId="7" borderId="85" xfId="0" applyFill="1" applyBorder="1"/>
    <xf numFmtId="3" fontId="0" fillId="0" borderId="92" xfId="0" applyNumberFormat="1" applyFill="1" applyBorder="1" applyAlignment="1" applyProtection="1">
      <alignment horizontal="right" vertical="top" wrapText="1"/>
    </xf>
    <xf numFmtId="3" fontId="0" fillId="0" borderId="9" xfId="0" applyNumberFormat="1" applyFill="1" applyBorder="1" applyAlignment="1" applyProtection="1">
      <alignment horizontal="right" vertical="top" wrapText="1"/>
    </xf>
    <xf numFmtId="3" fontId="0" fillId="0" borderId="91" xfId="0" applyNumberFormat="1" applyFill="1" applyBorder="1" applyAlignment="1" applyProtection="1">
      <alignment horizontal="right" vertical="top" wrapText="1"/>
    </xf>
    <xf numFmtId="3" fontId="0" fillId="0" borderId="84" xfId="0" applyNumberFormat="1" applyFill="1" applyBorder="1" applyAlignment="1" applyProtection="1">
      <alignment horizontal="right"/>
    </xf>
    <xf numFmtId="3" fontId="0" fillId="0" borderId="12" xfId="0" applyNumberFormat="1" applyFill="1" applyBorder="1" applyAlignment="1" applyProtection="1">
      <alignment horizontal="right"/>
    </xf>
    <xf numFmtId="3" fontId="0" fillId="0" borderId="83" xfId="0" applyNumberFormat="1" applyFill="1" applyBorder="1" applyAlignment="1" applyProtection="1">
      <alignment horizontal="right"/>
    </xf>
    <xf numFmtId="3" fontId="0" fillId="0" borderId="92" xfId="0" applyNumberFormat="1" applyFill="1" applyBorder="1" applyAlignment="1" applyProtection="1">
      <alignment horizontal="right"/>
    </xf>
    <xf numFmtId="3" fontId="0" fillId="0" borderId="9" xfId="0" applyNumberFormat="1" applyFill="1" applyBorder="1" applyAlignment="1" applyProtection="1">
      <alignment horizontal="right"/>
    </xf>
    <xf numFmtId="3" fontId="0" fillId="0" borderId="91" xfId="0" applyNumberFormat="1" applyFill="1" applyBorder="1" applyAlignment="1" applyProtection="1">
      <alignment horizontal="right"/>
    </xf>
    <xf numFmtId="3" fontId="0" fillId="0" borderId="16" xfId="0" applyNumberFormat="1" applyFill="1" applyBorder="1" applyAlignment="1" applyProtection="1">
      <alignment horizontal="right"/>
    </xf>
    <xf numFmtId="3" fontId="0" fillId="0" borderId="89" xfId="0" applyNumberFormat="1" applyFill="1" applyBorder="1" applyAlignment="1" applyProtection="1">
      <alignment horizontal="right"/>
    </xf>
    <xf numFmtId="3" fontId="0" fillId="0" borderId="88" xfId="0" applyNumberFormat="1" applyFill="1" applyBorder="1" applyAlignment="1" applyProtection="1">
      <alignment horizontal="right"/>
    </xf>
    <xf numFmtId="3" fontId="0" fillId="0" borderId="15" xfId="0" applyNumberFormat="1" applyFill="1" applyBorder="1" applyAlignment="1" applyProtection="1">
      <alignment horizontal="right"/>
    </xf>
    <xf numFmtId="3" fontId="0" fillId="0" borderId="87" xfId="0" applyNumberFormat="1" applyFill="1" applyBorder="1" applyAlignment="1" applyProtection="1">
      <alignment horizontal="right"/>
    </xf>
    <xf numFmtId="3" fontId="6" fillId="0" borderId="92" xfId="0" applyNumberFormat="1" applyFont="1" applyFill="1" applyBorder="1" applyAlignment="1" applyProtection="1">
      <alignment horizontal="right" vertical="top" wrapText="1"/>
    </xf>
    <xf numFmtId="3" fontId="6" fillId="0" borderId="84" xfId="0" applyNumberFormat="1" applyFont="1" applyFill="1" applyBorder="1" applyAlignment="1" applyProtection="1">
      <alignment horizontal="right"/>
    </xf>
    <xf numFmtId="3" fontId="6" fillId="0" borderId="92" xfId="0" applyNumberFormat="1" applyFont="1" applyFill="1" applyBorder="1" applyAlignment="1" applyProtection="1">
      <alignment horizontal="right"/>
    </xf>
    <xf numFmtId="3" fontId="6" fillId="0" borderId="90" xfId="0" applyNumberFormat="1" applyFont="1" applyFill="1" applyBorder="1" applyAlignment="1" applyProtection="1">
      <alignment horizontal="right"/>
    </xf>
    <xf numFmtId="3" fontId="6" fillId="0" borderId="88" xfId="0" applyNumberFormat="1" applyFont="1" applyFill="1" applyBorder="1" applyAlignment="1" applyProtection="1">
      <alignment horizontal="right"/>
    </xf>
    <xf numFmtId="9" fontId="0" fillId="0" borderId="3" xfId="0" applyNumberFormat="1" applyBorder="1"/>
    <xf numFmtId="9" fontId="0" fillId="0" borderId="5" xfId="0" applyNumberFormat="1" applyBorder="1"/>
    <xf numFmtId="8" fontId="0" fillId="0" borderId="12" xfId="0" applyNumberFormat="1" applyBorder="1"/>
    <xf numFmtId="8" fontId="0" fillId="0" borderId="16" xfId="0" applyNumberFormat="1" applyBorder="1"/>
    <xf numFmtId="9" fontId="0" fillId="0" borderId="1" xfId="0" applyNumberFormat="1" applyBorder="1"/>
    <xf numFmtId="8" fontId="0" fillId="0" borderId="15" xfId="0" applyNumberFormat="1" applyBorder="1"/>
    <xf numFmtId="0" fontId="10" fillId="6" borderId="0" xfId="0" applyFont="1" applyFill="1"/>
    <xf numFmtId="0" fontId="10" fillId="6" borderId="0" xfId="0" applyFont="1" applyFill="1" applyAlignment="1">
      <alignment horizontal="right"/>
    </xf>
    <xf numFmtId="0" fontId="0" fillId="0" borderId="46" xfId="0" applyBorder="1"/>
    <xf numFmtId="0" fontId="0" fillId="0" borderId="47" xfId="0" applyBorder="1"/>
    <xf numFmtId="0" fontId="0" fillId="0" borderId="48" xfId="0" applyBorder="1"/>
    <xf numFmtId="0" fontId="0" fillId="2" borderId="15" xfId="0" applyFill="1" applyBorder="1" applyProtection="1">
      <protection hidden="1"/>
    </xf>
    <xf numFmtId="0" fontId="0" fillId="2" borderId="12" xfId="0" applyFill="1" applyBorder="1" applyProtection="1">
      <protection hidden="1"/>
    </xf>
    <xf numFmtId="0" fontId="0" fillId="2" borderId="16" xfId="0" applyFill="1" applyBorder="1" applyProtection="1">
      <protection hidden="1"/>
    </xf>
    <xf numFmtId="0" fontId="0" fillId="7" borderId="1" xfId="0" applyFill="1" applyBorder="1" applyAlignment="1">
      <alignment horizontal="right"/>
    </xf>
    <xf numFmtId="3" fontId="0" fillId="7" borderId="2" xfId="0" applyNumberFormat="1" applyFill="1" applyBorder="1"/>
    <xf numFmtId="0" fontId="0" fillId="7" borderId="3" xfId="0" applyFill="1" applyBorder="1" applyAlignment="1">
      <alignment horizontal="right"/>
    </xf>
    <xf numFmtId="3" fontId="0" fillId="7" borderId="4" xfId="0" applyNumberFormat="1" applyFill="1" applyBorder="1"/>
    <xf numFmtId="0" fontId="1" fillId="7" borderId="5" xfId="0" applyFont="1" applyFill="1" applyBorder="1" applyAlignment="1">
      <alignment horizontal="right"/>
    </xf>
    <xf numFmtId="9" fontId="1" fillId="7" borderId="6" xfId="0" applyNumberFormat="1" applyFont="1" applyFill="1" applyBorder="1"/>
    <xf numFmtId="0" fontId="0" fillId="7" borderId="3" xfId="0" applyFill="1" applyBorder="1"/>
    <xf numFmtId="0" fontId="0" fillId="7" borderId="4" xfId="0" applyFill="1" applyBorder="1"/>
    <xf numFmtId="0" fontId="8" fillId="6" borderId="0" xfId="0" applyFont="1" applyFill="1" applyAlignment="1">
      <alignment horizontal="left"/>
    </xf>
    <xf numFmtId="0" fontId="8" fillId="6" borderId="0" xfId="0" applyFont="1" applyFill="1" applyAlignment="1">
      <alignment horizontal="center"/>
    </xf>
    <xf numFmtId="169" fontId="8" fillId="6" borderId="0" xfId="0" applyNumberFormat="1" applyFont="1" applyFill="1" applyAlignment="1">
      <alignment horizontal="left"/>
    </xf>
    <xf numFmtId="0" fontId="0" fillId="7" borderId="40" xfId="0" applyFill="1" applyBorder="1"/>
    <xf numFmtId="0" fontId="0" fillId="7" borderId="41" xfId="0" applyFill="1" applyBorder="1"/>
    <xf numFmtId="0" fontId="0" fillId="7" borderId="42" xfId="0" applyFill="1" applyBorder="1"/>
    <xf numFmtId="0" fontId="0" fillId="7" borderId="43" xfId="0" applyFill="1" applyBorder="1"/>
    <xf numFmtId="0" fontId="0" fillId="7" borderId="44" xfId="0" applyFill="1" applyBorder="1"/>
    <xf numFmtId="0" fontId="0" fillId="7" borderId="45" xfId="0" applyFill="1" applyBorder="1"/>
    <xf numFmtId="0" fontId="1" fillId="7" borderId="1" xfId="0" applyFont="1" applyFill="1" applyBorder="1"/>
    <xf numFmtId="0" fontId="10" fillId="7" borderId="12" xfId="0" applyFont="1" applyFill="1" applyBorder="1"/>
    <xf numFmtId="8" fontId="10" fillId="7" borderId="12" xfId="0" applyNumberFormat="1" applyFont="1" applyFill="1" applyBorder="1" applyAlignment="1">
      <alignment horizontal="right"/>
    </xf>
    <xf numFmtId="0" fontId="10" fillId="7" borderId="16" xfId="0" applyFont="1" applyFill="1" applyBorder="1"/>
    <xf numFmtId="8" fontId="10" fillId="7" borderId="16" xfId="0" applyNumberFormat="1" applyFont="1" applyFill="1" applyBorder="1" applyAlignment="1">
      <alignment horizontal="right"/>
    </xf>
    <xf numFmtId="0" fontId="0" fillId="7" borderId="49" xfId="0" applyFill="1" applyBorder="1"/>
    <xf numFmtId="0" fontId="0" fillId="7" borderId="50" xfId="0" applyFill="1" applyBorder="1"/>
    <xf numFmtId="164" fontId="0" fillId="7" borderId="51" xfId="0" applyNumberFormat="1" applyFill="1" applyBorder="1"/>
    <xf numFmtId="164" fontId="0" fillId="7" borderId="52" xfId="0" applyNumberFormat="1" applyFill="1" applyBorder="1"/>
    <xf numFmtId="0" fontId="0" fillId="7" borderId="52" xfId="0" applyFill="1" applyBorder="1"/>
    <xf numFmtId="0" fontId="5" fillId="7" borderId="49" xfId="0" applyFont="1" applyFill="1" applyBorder="1"/>
    <xf numFmtId="2" fontId="10" fillId="7" borderId="46" xfId="0" quotePrefix="1" applyNumberFormat="1" applyFont="1" applyFill="1" applyBorder="1"/>
    <xf numFmtId="1" fontId="10" fillId="7" borderId="46" xfId="0" quotePrefix="1" applyNumberFormat="1" applyFont="1" applyFill="1" applyBorder="1"/>
    <xf numFmtId="0" fontId="0" fillId="7" borderId="53" xfId="0" applyFill="1" applyBorder="1"/>
    <xf numFmtId="0" fontId="0" fillId="7" borderId="54" xfId="0" applyFill="1" applyBorder="1"/>
    <xf numFmtId="164" fontId="0" fillId="7" borderId="55" xfId="0" applyNumberFormat="1" applyFill="1" applyBorder="1"/>
    <xf numFmtId="164" fontId="0" fillId="7" borderId="56" xfId="0" applyNumberFormat="1" applyFill="1" applyBorder="1"/>
    <xf numFmtId="0" fontId="0" fillId="7" borderId="56" xfId="0" applyFill="1" applyBorder="1"/>
    <xf numFmtId="2" fontId="10" fillId="7" borderId="47" xfId="0" applyNumberFormat="1" applyFont="1" applyFill="1" applyBorder="1"/>
    <xf numFmtId="1" fontId="10" fillId="7" borderId="47" xfId="0" applyNumberFormat="1" applyFont="1" applyFill="1" applyBorder="1"/>
    <xf numFmtId="0" fontId="0" fillId="7" borderId="57" xfId="0" applyFill="1" applyBorder="1"/>
    <xf numFmtId="0" fontId="0" fillId="7" borderId="58" xfId="0" applyFill="1" applyBorder="1"/>
    <xf numFmtId="164" fontId="0" fillId="7" borderId="59" xfId="0" applyNumberFormat="1" applyFill="1" applyBorder="1"/>
    <xf numFmtId="164" fontId="0" fillId="7" borderId="60" xfId="0" applyNumberFormat="1" applyFill="1" applyBorder="1"/>
    <xf numFmtId="0" fontId="0" fillId="7" borderId="60" xfId="0" applyFill="1" applyBorder="1"/>
    <xf numFmtId="2" fontId="10" fillId="7" borderId="48" xfId="0" applyNumberFormat="1" applyFont="1" applyFill="1" applyBorder="1"/>
    <xf numFmtId="1" fontId="10" fillId="7" borderId="48" xfId="0" applyNumberFormat="1" applyFont="1" applyFill="1" applyBorder="1"/>
    <xf numFmtId="2" fontId="10" fillId="7" borderId="46" xfId="0" applyNumberFormat="1" applyFont="1" applyFill="1" applyBorder="1"/>
    <xf numFmtId="1" fontId="10" fillId="7" borderId="46" xfId="0" applyNumberFormat="1" applyFont="1" applyFill="1" applyBorder="1"/>
    <xf numFmtId="0" fontId="0" fillId="6" borderId="4" xfId="0" applyFill="1" applyBorder="1"/>
    <xf numFmtId="0" fontId="9" fillId="8" borderId="68" xfId="0" applyFont="1" applyFill="1" applyBorder="1" applyAlignment="1" applyProtection="1">
      <alignment horizontal="right"/>
      <protection hidden="1"/>
    </xf>
    <xf numFmtId="0" fontId="0" fillId="7" borderId="103" xfId="0" applyFill="1" applyBorder="1"/>
    <xf numFmtId="0" fontId="21" fillId="8" borderId="103" xfId="0" applyFont="1" applyFill="1" applyBorder="1" applyAlignment="1">
      <alignment horizontal="right"/>
    </xf>
    <xf numFmtId="0" fontId="21" fillId="8" borderId="104" xfId="0" applyFont="1" applyFill="1" applyBorder="1" applyAlignment="1">
      <alignment horizontal="center"/>
    </xf>
    <xf numFmtId="0" fontId="0" fillId="7" borderId="1" xfId="0" applyFill="1" applyBorder="1"/>
    <xf numFmtId="0" fontId="0" fillId="7" borderId="105" xfId="0" applyFill="1" applyBorder="1"/>
    <xf numFmtId="0" fontId="0" fillId="7" borderId="24" xfId="0" applyFill="1" applyBorder="1"/>
    <xf numFmtId="0" fontId="0" fillId="7" borderId="107" xfId="0" applyFill="1" applyBorder="1"/>
    <xf numFmtId="2" fontId="0" fillId="7" borderId="28" xfId="0" applyNumberFormat="1" applyFill="1" applyBorder="1"/>
    <xf numFmtId="2" fontId="0" fillId="7" borderId="29" xfId="0" applyNumberFormat="1" applyFill="1" applyBorder="1"/>
    <xf numFmtId="2" fontId="0" fillId="7" borderId="105" xfId="0" applyNumberFormat="1" applyFill="1" applyBorder="1"/>
    <xf numFmtId="2" fontId="0" fillId="7" borderId="22" xfId="0" applyNumberFormat="1" applyFill="1" applyBorder="1"/>
    <xf numFmtId="2" fontId="0" fillId="7" borderId="23" xfId="0" applyNumberFormat="1" applyFill="1" applyBorder="1"/>
    <xf numFmtId="2" fontId="0" fillId="7" borderId="24" xfId="0" applyNumberFormat="1" applyFill="1" applyBorder="1"/>
    <xf numFmtId="2" fontId="0" fillId="7" borderId="106" xfId="0" applyNumberFormat="1" applyFill="1" applyBorder="1"/>
    <xf numFmtId="2" fontId="0" fillId="7" borderId="25" xfId="0" applyNumberFormat="1" applyFill="1" applyBorder="1"/>
    <xf numFmtId="2" fontId="0" fillId="7" borderId="107" xfId="0" applyNumberFormat="1" applyFill="1" applyBorder="1"/>
    <xf numFmtId="1" fontId="0" fillId="7" borderId="28" xfId="0" applyNumberFormat="1" applyFill="1" applyBorder="1"/>
    <xf numFmtId="1" fontId="0" fillId="7" borderId="29" xfId="0" applyNumberFormat="1" applyFill="1" applyBorder="1"/>
    <xf numFmtId="1" fontId="0" fillId="7" borderId="105" xfId="0" applyNumberFormat="1" applyFill="1" applyBorder="1"/>
    <xf numFmtId="1" fontId="0" fillId="7" borderId="22" xfId="0" applyNumberFormat="1" applyFill="1" applyBorder="1"/>
    <xf numFmtId="1" fontId="0" fillId="7" borderId="23" xfId="0" applyNumberFormat="1" applyFill="1" applyBorder="1"/>
    <xf numFmtId="1" fontId="0" fillId="7" borderId="24" xfId="0" applyNumberFormat="1" applyFill="1" applyBorder="1"/>
    <xf numFmtId="1" fontId="0" fillId="7" borderId="106" xfId="0" applyNumberFormat="1" applyFill="1" applyBorder="1"/>
    <xf numFmtId="1" fontId="0" fillId="7" borderId="25" xfId="0" applyNumberFormat="1" applyFill="1" applyBorder="1"/>
    <xf numFmtId="1" fontId="0" fillId="7" borderId="107" xfId="0" applyNumberFormat="1" applyFill="1" applyBorder="1"/>
    <xf numFmtId="0" fontId="10" fillId="0" borderId="0" xfId="0" applyFont="1" applyFill="1"/>
    <xf numFmtId="0" fontId="15" fillId="0" borderId="0" xfId="0" applyFont="1" applyFill="1" applyAlignment="1">
      <alignment horizontal="left"/>
    </xf>
    <xf numFmtId="0" fontId="14" fillId="0" borderId="0" xfId="0" applyFont="1" applyFill="1" applyAlignment="1">
      <alignment horizontal="right"/>
    </xf>
    <xf numFmtId="0" fontId="1" fillId="0" borderId="0" xfId="0" applyFont="1" applyFill="1" applyAlignment="1">
      <alignment horizontal="right"/>
    </xf>
    <xf numFmtId="0" fontId="11" fillId="0" borderId="0" xfId="0" applyFont="1" applyFill="1" applyAlignment="1">
      <alignment horizontal="right"/>
    </xf>
    <xf numFmtId="3" fontId="11" fillId="0" borderId="0" xfId="0" applyNumberFormat="1" applyFont="1" applyFill="1" applyAlignment="1">
      <alignment horizontal="left"/>
    </xf>
    <xf numFmtId="3" fontId="0" fillId="0" borderId="0" xfId="0" applyNumberFormat="1" applyFill="1"/>
    <xf numFmtId="0" fontId="7" fillId="0" borderId="0" xfId="0" applyFont="1" applyFill="1"/>
    <xf numFmtId="0" fontId="8" fillId="0" borderId="0" xfId="0" applyFont="1" applyFill="1" applyAlignment="1">
      <alignment horizontal="right"/>
    </xf>
    <xf numFmtId="1" fontId="0" fillId="0" borderId="9" xfId="0" applyNumberFormat="1" applyFill="1" applyBorder="1"/>
    <xf numFmtId="0" fontId="2" fillId="0" borderId="0" xfId="0" applyFont="1" applyFill="1"/>
    <xf numFmtId="0" fontId="0" fillId="0" borderId="0" xfId="0" applyFill="1" applyAlignment="1">
      <alignment wrapText="1"/>
    </xf>
    <xf numFmtId="0" fontId="4" fillId="0" borderId="0" xfId="0" applyFont="1" applyFill="1" applyAlignment="1">
      <alignment horizontal="left"/>
    </xf>
    <xf numFmtId="0" fontId="9" fillId="0" borderId="0" xfId="0" applyFont="1" applyFill="1"/>
    <xf numFmtId="0" fontId="0" fillId="0" borderId="7" xfId="0" applyFill="1" applyBorder="1"/>
    <xf numFmtId="0" fontId="0" fillId="0" borderId="0" xfId="0" applyFont="1" applyFill="1" applyAlignment="1">
      <alignment horizontal="right"/>
    </xf>
    <xf numFmtId="0" fontId="22" fillId="0" borderId="0" xfId="0" applyFont="1" applyFill="1"/>
    <xf numFmtId="0" fontId="23" fillId="0" borderId="0" xfId="0" applyFont="1" applyFill="1"/>
    <xf numFmtId="0" fontId="23" fillId="0" borderId="0" xfId="0" applyFont="1" applyFill="1" applyAlignment="1">
      <alignment horizontal="right"/>
    </xf>
    <xf numFmtId="8" fontId="23" fillId="0" borderId="0" xfId="0" applyNumberFormat="1" applyFont="1" applyFill="1"/>
    <xf numFmtId="173" fontId="23" fillId="0" borderId="0" xfId="0" quotePrefix="1" applyNumberFormat="1" applyFont="1" applyFill="1" applyAlignment="1">
      <alignment horizontal="left"/>
    </xf>
    <xf numFmtId="165" fontId="23" fillId="0" borderId="0" xfId="0" quotePrefix="1" applyNumberFormat="1" applyFont="1" applyFill="1" applyAlignment="1">
      <alignment horizontal="left"/>
    </xf>
    <xf numFmtId="0" fontId="8" fillId="9" borderId="111" xfId="0" applyFont="1" applyFill="1" applyBorder="1" applyAlignment="1" applyProtection="1">
      <alignment horizontal="left"/>
      <protection locked="0"/>
    </xf>
    <xf numFmtId="0" fontId="0" fillId="9" borderId="26" xfId="0" applyFill="1" applyBorder="1" applyAlignment="1" applyProtection="1">
      <alignment horizontal="center"/>
      <protection locked="0"/>
    </xf>
    <xf numFmtId="1" fontId="0" fillId="9" borderId="26" xfId="0" applyNumberFormat="1" applyFill="1" applyBorder="1" applyAlignment="1" applyProtection="1">
      <alignment horizontal="center"/>
      <protection locked="0"/>
    </xf>
    <xf numFmtId="0" fontId="0" fillId="9" borderId="27" xfId="0" applyFill="1" applyBorder="1" applyAlignment="1" applyProtection="1">
      <alignment horizontal="center"/>
      <protection locked="0"/>
    </xf>
    <xf numFmtId="8" fontId="10" fillId="9" borderId="12" xfId="0" applyNumberFormat="1" applyFont="1" applyFill="1" applyBorder="1" applyAlignment="1">
      <alignment horizontal="right"/>
    </xf>
    <xf numFmtId="8" fontId="10" fillId="9" borderId="16" xfId="0" applyNumberFormat="1" applyFont="1" applyFill="1" applyBorder="1" applyAlignment="1">
      <alignment horizontal="right"/>
    </xf>
    <xf numFmtId="2" fontId="0" fillId="9" borderId="2" xfId="0" applyNumberFormat="1" applyFill="1" applyBorder="1"/>
    <xf numFmtId="2" fontId="0" fillId="9" borderId="4" xfId="0" applyNumberFormat="1" applyFill="1" applyBorder="1"/>
    <xf numFmtId="2" fontId="0" fillId="9" borderId="6" xfId="0" applyNumberFormat="1" applyFill="1" applyBorder="1"/>
    <xf numFmtId="0" fontId="1" fillId="10" borderId="13" xfId="0" applyFont="1" applyFill="1" applyBorder="1"/>
    <xf numFmtId="0" fontId="1" fillId="10" borderId="14" xfId="0" applyFont="1" applyFill="1" applyBorder="1"/>
    <xf numFmtId="0" fontId="1" fillId="10" borderId="1" xfId="0" applyFont="1" applyFill="1" applyBorder="1"/>
    <xf numFmtId="0" fontId="0" fillId="10" borderId="2" xfId="0" applyFill="1" applyBorder="1"/>
    <xf numFmtId="0" fontId="1" fillId="10" borderId="15" xfId="0" applyFont="1" applyFill="1" applyBorder="1" applyAlignment="1">
      <alignment horizontal="right"/>
    </xf>
    <xf numFmtId="0" fontId="1" fillId="10" borderId="15" xfId="0" applyFont="1" applyFill="1" applyBorder="1"/>
    <xf numFmtId="0" fontId="0" fillId="10" borderId="15" xfId="0" applyFill="1" applyBorder="1"/>
    <xf numFmtId="0" fontId="19" fillId="10" borderId="9" xfId="0" applyFont="1" applyFill="1" applyBorder="1"/>
    <xf numFmtId="0" fontId="1" fillId="10" borderId="18" xfId="0" applyFont="1" applyFill="1" applyBorder="1"/>
    <xf numFmtId="0" fontId="1" fillId="10" borderId="1" xfId="0" applyFont="1" applyFill="1" applyBorder="1" applyAlignment="1">
      <alignment horizontal="centerContinuous"/>
    </xf>
    <xf numFmtId="0" fontId="1" fillId="10" borderId="8" xfId="0" applyFont="1" applyFill="1" applyBorder="1" applyAlignment="1">
      <alignment horizontal="centerContinuous"/>
    </xf>
    <xf numFmtId="0" fontId="1" fillId="10" borderId="2" xfId="0" applyFont="1" applyFill="1" applyBorder="1" applyAlignment="1">
      <alignment horizontal="centerContinuous"/>
    </xf>
    <xf numFmtId="0" fontId="19" fillId="10" borderId="15" xfId="0" applyFont="1" applyFill="1" applyBorder="1" applyAlignment="1">
      <alignment horizontal="center"/>
    </xf>
    <xf numFmtId="0" fontId="0" fillId="10" borderId="108" xfId="0" applyFill="1" applyBorder="1" applyAlignment="1">
      <alignment horizontal="right"/>
    </xf>
    <xf numFmtId="0" fontId="0" fillId="10" borderId="109" xfId="0" applyFill="1" applyBorder="1" applyAlignment="1">
      <alignment horizontal="right"/>
    </xf>
    <xf numFmtId="0" fontId="0" fillId="10" borderId="110" xfId="0" applyFill="1" applyBorder="1" applyAlignment="1">
      <alignment horizontal="right"/>
    </xf>
    <xf numFmtId="0" fontId="19" fillId="10" borderId="16" xfId="0" applyFont="1" applyFill="1" applyBorder="1" applyAlignment="1">
      <alignment horizontal="center"/>
    </xf>
    <xf numFmtId="0" fontId="1" fillId="10" borderId="17" xfId="0" applyFont="1" applyFill="1" applyBorder="1"/>
    <xf numFmtId="0" fontId="1" fillId="10" borderId="2" xfId="0" applyFont="1" applyFill="1" applyBorder="1"/>
    <xf numFmtId="0" fontId="0" fillId="10" borderId="18" xfId="0" applyFill="1" applyBorder="1" applyAlignment="1">
      <alignment horizontal="center" vertical="top"/>
    </xf>
    <xf numFmtId="0" fontId="0" fillId="10" borderId="19" xfId="0" applyFill="1" applyBorder="1" applyAlignment="1">
      <alignment horizontal="center" vertical="top"/>
    </xf>
    <xf numFmtId="0" fontId="0" fillId="10" borderId="20" xfId="0" applyFill="1" applyBorder="1" applyAlignment="1">
      <alignment horizontal="center" vertical="top"/>
    </xf>
    <xf numFmtId="0" fontId="0" fillId="10" borderId="21" xfId="0" applyFill="1" applyBorder="1" applyAlignment="1">
      <alignment horizontal="center" vertical="top"/>
    </xf>
    <xf numFmtId="0" fontId="0" fillId="10" borderId="18" xfId="0" applyFill="1" applyBorder="1" applyAlignment="1">
      <alignment horizontal="center" vertical="top" wrapText="1"/>
    </xf>
    <xf numFmtId="0" fontId="0" fillId="10" borderId="9" xfId="0" applyFill="1" applyBorder="1" applyAlignment="1">
      <alignment horizontal="center" vertical="top" wrapText="1"/>
    </xf>
    <xf numFmtId="0" fontId="1" fillId="10" borderId="80" xfId="0" applyFont="1" applyFill="1" applyBorder="1"/>
    <xf numFmtId="0" fontId="1" fillId="10" borderId="96" xfId="0" applyFont="1" applyFill="1" applyBorder="1"/>
    <xf numFmtId="0" fontId="1" fillId="10" borderId="95" xfId="0" applyFont="1" applyFill="1" applyBorder="1" applyAlignment="1">
      <alignment horizontal="centerContinuous"/>
    </xf>
    <xf numFmtId="0" fontId="0" fillId="10" borderId="94" xfId="0" applyFill="1" applyBorder="1" applyAlignment="1">
      <alignment horizontal="centerContinuous"/>
    </xf>
    <xf numFmtId="0" fontId="1" fillId="10" borderId="94" xfId="0" applyFont="1" applyFill="1" applyBorder="1" applyAlignment="1">
      <alignment horizontal="centerContinuous"/>
    </xf>
    <xf numFmtId="0" fontId="0" fillId="10" borderId="93" xfId="0" applyFill="1" applyBorder="1" applyAlignment="1">
      <alignment horizontal="centerContinuous"/>
    </xf>
    <xf numFmtId="0" fontId="11" fillId="10" borderId="90" xfId="0" applyFont="1" applyFill="1" applyBorder="1" applyAlignment="1">
      <alignment vertical="top"/>
    </xf>
    <xf numFmtId="0" fontId="1" fillId="10" borderId="13" xfId="0" applyFont="1" applyFill="1" applyBorder="1" applyAlignment="1">
      <alignment horizontal="right"/>
    </xf>
    <xf numFmtId="0" fontId="0" fillId="10" borderId="14" xfId="0" applyFill="1" applyBorder="1"/>
    <xf numFmtId="0" fontId="1" fillId="10" borderId="73" xfId="0" applyFont="1" applyFill="1" applyBorder="1" applyAlignment="1">
      <alignment vertical="top" wrapText="1"/>
    </xf>
    <xf numFmtId="0" fontId="1" fillId="10" borderId="72" xfId="0" applyFont="1" applyFill="1" applyBorder="1" applyAlignment="1">
      <alignment vertical="top" wrapText="1"/>
    </xf>
    <xf numFmtId="0" fontId="1" fillId="10" borderId="71" xfId="0" applyFont="1" applyFill="1" applyBorder="1" applyAlignment="1">
      <alignment vertical="top" wrapText="1"/>
    </xf>
    <xf numFmtId="3" fontId="0" fillId="7" borderId="9" xfId="0" applyNumberFormat="1" applyFill="1" applyBorder="1" applyAlignment="1">
      <alignment horizontal="right" vertical="top" wrapText="1"/>
    </xf>
    <xf numFmtId="3" fontId="0" fillId="7" borderId="12" xfId="0" applyNumberFormat="1" applyFill="1" applyBorder="1" applyAlignment="1">
      <alignment horizontal="right"/>
    </xf>
    <xf numFmtId="3" fontId="0" fillId="7" borderId="16" xfId="0" applyNumberFormat="1" applyFill="1" applyBorder="1" applyAlignment="1">
      <alignment horizontal="right"/>
    </xf>
    <xf numFmtId="3" fontId="0" fillId="7" borderId="9" xfId="0" applyNumberFormat="1" applyFill="1" applyBorder="1" applyAlignment="1">
      <alignment horizontal="right"/>
    </xf>
    <xf numFmtId="3" fontId="0" fillId="7" borderId="15" xfId="0" applyNumberFormat="1" applyFill="1" applyBorder="1" applyAlignment="1">
      <alignment horizontal="right"/>
    </xf>
    <xf numFmtId="6" fontId="0" fillId="7" borderId="23" xfId="0" applyNumberFormat="1" applyFill="1" applyBorder="1"/>
    <xf numFmtId="165" fontId="0" fillId="7" borderId="66" xfId="0" applyNumberFormat="1" applyFill="1" applyBorder="1"/>
    <xf numFmtId="6" fontId="0" fillId="7" borderId="25" xfId="0" applyNumberFormat="1" applyFill="1" applyBorder="1"/>
    <xf numFmtId="6" fontId="0" fillId="7" borderId="29" xfId="0" applyNumberFormat="1" applyFill="1" applyBorder="1"/>
    <xf numFmtId="165" fontId="0" fillId="7" borderId="69" xfId="0" applyNumberFormat="1" applyFill="1" applyBorder="1"/>
    <xf numFmtId="165" fontId="0" fillId="7" borderId="64" xfId="0" applyNumberFormat="1" applyFill="1" applyBorder="1"/>
    <xf numFmtId="3" fontId="0" fillId="9" borderId="92" xfId="0" applyNumberFormat="1" applyFill="1" applyBorder="1" applyAlignment="1" applyProtection="1">
      <alignment horizontal="right" vertical="top" wrapText="1"/>
      <protection locked="0"/>
    </xf>
    <xf numFmtId="3" fontId="0" fillId="9" borderId="84" xfId="0" applyNumberFormat="1" applyFill="1" applyBorder="1" applyAlignment="1" applyProtection="1">
      <alignment horizontal="right"/>
      <protection locked="0"/>
    </xf>
    <xf numFmtId="3" fontId="0" fillId="9" borderId="92" xfId="0" applyNumberFormat="1" applyFill="1" applyBorder="1" applyAlignment="1" applyProtection="1">
      <alignment horizontal="right"/>
      <protection locked="0"/>
    </xf>
    <xf numFmtId="3" fontId="0" fillId="9" borderId="88" xfId="0" applyNumberFormat="1" applyFill="1" applyBorder="1" applyAlignment="1" applyProtection="1">
      <alignment horizontal="right"/>
      <protection locked="0"/>
    </xf>
    <xf numFmtId="3" fontId="0" fillId="9" borderId="15" xfId="0" applyNumberFormat="1" applyFill="1" applyBorder="1" applyAlignment="1" applyProtection="1">
      <alignment horizontal="right"/>
      <protection locked="0"/>
    </xf>
    <xf numFmtId="3" fontId="0" fillId="9" borderId="9" xfId="0" applyNumberFormat="1" applyFill="1" applyBorder="1" applyAlignment="1" applyProtection="1">
      <alignment horizontal="right"/>
      <protection locked="0"/>
    </xf>
    <xf numFmtId="3" fontId="0" fillId="9" borderId="16" xfId="0" applyNumberFormat="1" applyFill="1" applyBorder="1" applyAlignment="1" applyProtection="1">
      <alignment horizontal="right"/>
      <protection locked="0"/>
    </xf>
    <xf numFmtId="3" fontId="0" fillId="9" borderId="91" xfId="0" applyNumberFormat="1" applyFill="1" applyBorder="1" applyAlignment="1" applyProtection="1">
      <alignment horizontal="right" vertical="top" wrapText="1"/>
      <protection locked="0"/>
    </xf>
    <xf numFmtId="3" fontId="0" fillId="9" borderId="83" xfId="0" applyNumberFormat="1" applyFill="1" applyBorder="1" applyAlignment="1" applyProtection="1">
      <alignment horizontal="right"/>
      <protection locked="0"/>
    </xf>
    <xf numFmtId="3" fontId="0" fillId="9" borderId="89" xfId="0" applyNumberFormat="1" applyFill="1" applyBorder="1" applyAlignment="1" applyProtection="1">
      <alignment horizontal="right"/>
      <protection locked="0"/>
    </xf>
    <xf numFmtId="3" fontId="0" fillId="9" borderId="87" xfId="0" applyNumberFormat="1" applyFill="1" applyBorder="1" applyAlignment="1" applyProtection="1">
      <alignment horizontal="right"/>
      <protection locked="0"/>
    </xf>
    <xf numFmtId="0" fontId="0" fillId="9" borderId="70" xfId="0" applyFill="1" applyBorder="1" applyProtection="1">
      <protection locked="0"/>
    </xf>
    <xf numFmtId="0" fontId="0" fillId="9" borderId="23" xfId="0" applyFill="1" applyBorder="1" applyProtection="1">
      <protection locked="0"/>
    </xf>
    <xf numFmtId="3" fontId="0" fillId="9" borderId="29" xfId="0" applyNumberFormat="1" applyFill="1" applyBorder="1" applyProtection="1">
      <protection locked="0"/>
    </xf>
    <xf numFmtId="0" fontId="0" fillId="9" borderId="29" xfId="0" applyFill="1" applyBorder="1" applyProtection="1">
      <protection locked="0"/>
    </xf>
    <xf numFmtId="8" fontId="0" fillId="9" borderId="23" xfId="0" applyNumberFormat="1" applyFill="1" applyBorder="1" applyProtection="1">
      <protection locked="0"/>
    </xf>
    <xf numFmtId="0" fontId="0" fillId="9" borderId="67" xfId="0" applyFill="1" applyBorder="1" applyProtection="1">
      <protection locked="0"/>
    </xf>
    <xf numFmtId="3" fontId="0" fillId="9" borderId="23" xfId="0" applyNumberFormat="1" applyFill="1" applyBorder="1" applyProtection="1">
      <protection locked="0"/>
    </xf>
    <xf numFmtId="168" fontId="0" fillId="9" borderId="23" xfId="0" applyNumberFormat="1" applyFill="1" applyBorder="1" applyProtection="1">
      <protection locked="0"/>
    </xf>
    <xf numFmtId="168" fontId="4" fillId="9" borderId="23" xfId="0" applyNumberFormat="1" applyFont="1" applyFill="1" applyBorder="1" applyProtection="1">
      <protection locked="0"/>
    </xf>
    <xf numFmtId="0" fontId="0" fillId="9" borderId="65" xfId="0" applyFill="1" applyBorder="1" applyProtection="1">
      <protection locked="0"/>
    </xf>
    <xf numFmtId="0" fontId="0" fillId="9" borderId="25" xfId="0" applyFill="1" applyBorder="1" applyProtection="1">
      <protection locked="0"/>
    </xf>
    <xf numFmtId="3" fontId="0" fillId="9" borderId="25" xfId="0" applyNumberFormat="1" applyFill="1" applyBorder="1" applyProtection="1">
      <protection locked="0"/>
    </xf>
    <xf numFmtId="168" fontId="0" fillId="9" borderId="25" xfId="0" applyNumberFormat="1" applyFill="1" applyBorder="1" applyProtection="1">
      <protection locked="0"/>
    </xf>
    <xf numFmtId="8" fontId="0" fillId="9" borderId="25" xfId="0" applyNumberFormat="1" applyFill="1" applyBorder="1" applyProtection="1">
      <protection locked="0"/>
    </xf>
    <xf numFmtId="166" fontId="0" fillId="9" borderId="29" xfId="0" applyNumberFormat="1" applyFill="1" applyBorder="1" applyProtection="1">
      <protection locked="0"/>
    </xf>
    <xf numFmtId="166" fontId="0" fillId="9" borderId="23" xfId="0" applyNumberFormat="1" applyFill="1" applyBorder="1" applyProtection="1">
      <protection locked="0"/>
    </xf>
    <xf numFmtId="166" fontId="0" fillId="9" borderId="25" xfId="0" applyNumberFormat="1" applyFill="1" applyBorder="1" applyProtection="1">
      <protection locked="0"/>
    </xf>
    <xf numFmtId="0" fontId="11" fillId="10" borderId="16" xfId="0" applyFont="1" applyFill="1" applyBorder="1" applyAlignment="1">
      <alignment horizontal="left" vertical="top" wrapText="1"/>
    </xf>
    <xf numFmtId="0" fontId="0" fillId="10" borderId="88" xfId="0" applyFill="1" applyBorder="1" applyAlignment="1" applyProtection="1">
      <alignment horizontal="center" vertical="top" wrapText="1"/>
    </xf>
    <xf numFmtId="0" fontId="0" fillId="10" borderId="15" xfId="0" applyFill="1" applyBorder="1" applyAlignment="1" applyProtection="1">
      <alignment horizontal="center" vertical="top" wrapText="1"/>
    </xf>
    <xf numFmtId="0" fontId="0" fillId="10" borderId="1" xfId="0" applyFill="1" applyBorder="1" applyAlignment="1" applyProtection="1">
      <alignment horizontal="center" vertical="top" wrapText="1"/>
    </xf>
    <xf numFmtId="0" fontId="0" fillId="10" borderId="87" xfId="0" applyFill="1" applyBorder="1" applyAlignment="1" applyProtection="1">
      <alignment horizontal="center" vertical="top" wrapText="1"/>
    </xf>
    <xf numFmtId="0" fontId="1" fillId="10" borderId="9" xfId="0" applyFont="1" applyFill="1" applyBorder="1"/>
    <xf numFmtId="3" fontId="1" fillId="10" borderId="9" xfId="0" applyNumberFormat="1" applyFont="1" applyFill="1" applyBorder="1"/>
    <xf numFmtId="0" fontId="1" fillId="10" borderId="16" xfId="0" applyFont="1" applyFill="1" applyBorder="1" applyAlignment="1">
      <alignment vertical="top"/>
    </xf>
    <xf numFmtId="0" fontId="1" fillId="10" borderId="9" xfId="0" applyFont="1" applyFill="1" applyBorder="1" applyAlignment="1">
      <alignment horizontal="center" vertical="top" wrapText="1"/>
    </xf>
    <xf numFmtId="3" fontId="0" fillId="7" borderId="15" xfId="0" applyNumberFormat="1" applyFill="1" applyBorder="1"/>
    <xf numFmtId="170" fontId="0" fillId="7" borderId="12" xfId="0" applyNumberFormat="1" applyFill="1" applyBorder="1"/>
    <xf numFmtId="1" fontId="0" fillId="7" borderId="16" xfId="0" applyNumberFormat="1" applyFill="1" applyBorder="1"/>
    <xf numFmtId="3" fontId="0" fillId="7" borderId="12" xfId="0" applyNumberFormat="1" applyFill="1" applyBorder="1"/>
    <xf numFmtId="3" fontId="0" fillId="7" borderId="16" xfId="0" applyNumberFormat="1" applyFill="1" applyBorder="1"/>
    <xf numFmtId="0" fontId="0" fillId="7" borderId="5" xfId="0" applyFont="1" applyFill="1" applyBorder="1"/>
    <xf numFmtId="3" fontId="0" fillId="7" borderId="7" xfId="0" applyNumberFormat="1" applyFont="1" applyFill="1" applyBorder="1"/>
    <xf numFmtId="6" fontId="0" fillId="7" borderId="15" xfId="0" applyNumberFormat="1" applyFill="1" applyBorder="1"/>
    <xf numFmtId="8" fontId="0" fillId="7" borderId="15" xfId="0" applyNumberFormat="1" applyFill="1" applyBorder="1"/>
    <xf numFmtId="0" fontId="0" fillId="7" borderId="101" xfId="0" applyFill="1" applyBorder="1"/>
    <xf numFmtId="3" fontId="0" fillId="7" borderId="101" xfId="0" applyNumberFormat="1" applyFill="1" applyBorder="1"/>
    <xf numFmtId="6" fontId="0" fillId="7" borderId="101" xfId="0" applyNumberFormat="1" applyFill="1" applyBorder="1"/>
    <xf numFmtId="8" fontId="0" fillId="7" borderId="101" xfId="0" applyNumberFormat="1" applyFill="1" applyBorder="1"/>
    <xf numFmtId="6" fontId="0" fillId="7" borderId="12" xfId="0" applyNumberFormat="1" applyFill="1" applyBorder="1"/>
    <xf numFmtId="8" fontId="0" fillId="7" borderId="12" xfId="0" applyNumberFormat="1" applyFill="1" applyBorder="1"/>
    <xf numFmtId="0" fontId="0" fillId="7" borderId="100" xfId="0" applyFill="1" applyBorder="1"/>
    <xf numFmtId="3" fontId="0" fillId="7" borderId="100" xfId="0" applyNumberFormat="1" applyFill="1" applyBorder="1"/>
    <xf numFmtId="6" fontId="0" fillId="7" borderId="100" xfId="0" applyNumberFormat="1" applyFill="1" applyBorder="1"/>
    <xf numFmtId="8" fontId="0" fillId="7" borderId="100" xfId="0" applyNumberFormat="1" applyFill="1" applyBorder="1"/>
    <xf numFmtId="6" fontId="0" fillId="7" borderId="16" xfId="0" applyNumberFormat="1" applyFill="1" applyBorder="1"/>
    <xf numFmtId="8" fontId="0" fillId="7" borderId="16" xfId="0" applyNumberFormat="1" applyFill="1" applyBorder="1"/>
    <xf numFmtId="165" fontId="0" fillId="7" borderId="15" xfId="0" applyNumberFormat="1" applyFill="1" applyBorder="1" applyProtection="1"/>
    <xf numFmtId="8" fontId="0" fillId="7" borderId="15" xfId="0" applyNumberFormat="1" applyFill="1" applyBorder="1" applyProtection="1"/>
    <xf numFmtId="167" fontId="0" fillId="7" borderId="15" xfId="0" applyNumberFormat="1" applyFill="1" applyBorder="1" applyProtection="1"/>
    <xf numFmtId="0" fontId="20" fillId="7" borderId="101" xfId="0" applyFont="1" applyFill="1" applyBorder="1"/>
    <xf numFmtId="165" fontId="0" fillId="7" borderId="101" xfId="0" applyNumberFormat="1" applyFill="1" applyBorder="1" applyProtection="1"/>
    <xf numFmtId="8" fontId="0" fillId="7" borderId="101" xfId="0" applyNumberFormat="1" applyFill="1" applyBorder="1" applyProtection="1"/>
    <xf numFmtId="167" fontId="0" fillId="7" borderId="101" xfId="0" applyNumberFormat="1" applyFill="1" applyBorder="1" applyProtection="1"/>
    <xf numFmtId="165" fontId="0" fillId="7" borderId="12" xfId="0" applyNumberFormat="1" applyFill="1" applyBorder="1" applyProtection="1"/>
    <xf numFmtId="8" fontId="0" fillId="7" borderId="12" xfId="0" applyNumberFormat="1" applyFill="1" applyBorder="1" applyProtection="1"/>
    <xf numFmtId="167" fontId="0" fillId="7" borderId="12" xfId="0" applyNumberFormat="1" applyFill="1" applyBorder="1" applyProtection="1"/>
    <xf numFmtId="165" fontId="0" fillId="7" borderId="100" xfId="0" applyNumberFormat="1" applyFill="1" applyBorder="1" applyProtection="1"/>
    <xf numFmtId="8" fontId="0" fillId="7" borderId="100" xfId="0" applyNumberFormat="1" applyFill="1" applyBorder="1" applyProtection="1"/>
    <xf numFmtId="167" fontId="0" fillId="7" borderId="100" xfId="0" applyNumberFormat="1" applyFill="1" applyBorder="1" applyProtection="1"/>
    <xf numFmtId="165" fontId="0" fillId="7" borderId="16" xfId="0" applyNumberFormat="1" applyFill="1" applyBorder="1" applyProtection="1"/>
    <xf numFmtId="8" fontId="0" fillId="7" borderId="16" xfId="0" applyNumberFormat="1" applyFill="1" applyBorder="1" applyProtection="1"/>
    <xf numFmtId="167" fontId="0" fillId="7" borderId="16" xfId="0" applyNumberFormat="1" applyFill="1" applyBorder="1" applyProtection="1"/>
    <xf numFmtId="0" fontId="1" fillId="4" borderId="1" xfId="0" applyFont="1" applyFill="1" applyBorder="1"/>
    <xf numFmtId="3" fontId="0" fillId="4" borderId="8" xfId="0" applyNumberFormat="1" applyFill="1" applyBorder="1"/>
    <xf numFmtId="0" fontId="0" fillId="4" borderId="9" xfId="0" applyFill="1" applyBorder="1"/>
    <xf numFmtId="3" fontId="1" fillId="4" borderId="15" xfId="0" applyNumberFormat="1" applyFont="1" applyFill="1" applyBorder="1"/>
    <xf numFmtId="6" fontId="1" fillId="4" borderId="15" xfId="0" applyNumberFormat="1" applyFont="1" applyFill="1" applyBorder="1"/>
    <xf numFmtId="8" fontId="1" fillId="4" borderId="15" xfId="0" applyNumberFormat="1" applyFont="1" applyFill="1" applyBorder="1"/>
    <xf numFmtId="3" fontId="1" fillId="4" borderId="9" xfId="0" applyNumberFormat="1" applyFont="1" applyFill="1" applyBorder="1"/>
    <xf numFmtId="6" fontId="1" fillId="4" borderId="9" xfId="0" applyNumberFormat="1" applyFont="1" applyFill="1" applyBorder="1"/>
    <xf numFmtId="8" fontId="1" fillId="4" borderId="9" xfId="0" applyNumberFormat="1" applyFont="1" applyFill="1" applyBorder="1"/>
    <xf numFmtId="0" fontId="0" fillId="7" borderId="12" xfId="0" applyFill="1" applyBorder="1" applyAlignment="1">
      <alignment wrapText="1"/>
    </xf>
    <xf numFmtId="0" fontId="0" fillId="7" borderId="16" xfId="0" applyFill="1" applyBorder="1" applyAlignment="1">
      <alignment wrapText="1"/>
    </xf>
    <xf numFmtId="0" fontId="1" fillId="7" borderId="12" xfId="0" applyFont="1" applyFill="1" applyBorder="1" applyAlignment="1">
      <alignment wrapText="1"/>
    </xf>
    <xf numFmtId="0" fontId="0" fillId="7" borderId="12" xfId="0" applyFont="1" applyFill="1" applyBorder="1" applyAlignment="1">
      <alignment wrapText="1"/>
    </xf>
    <xf numFmtId="0" fontId="25" fillId="7" borderId="12" xfId="1" applyFill="1" applyBorder="1" applyAlignment="1">
      <alignment wrapText="1"/>
    </xf>
    <xf numFmtId="0" fontId="26" fillId="7" borderId="12" xfId="1" applyFont="1" applyFill="1" applyBorder="1" applyAlignment="1">
      <alignment wrapText="1"/>
    </xf>
    <xf numFmtId="172" fontId="0" fillId="7" borderId="15" xfId="0" applyNumberFormat="1" applyFill="1" applyBorder="1"/>
    <xf numFmtId="172" fontId="0" fillId="7" borderId="12" xfId="0" applyNumberFormat="1" applyFill="1" applyBorder="1"/>
    <xf numFmtId="0" fontId="2" fillId="7" borderId="12" xfId="0" applyFont="1" applyFill="1" applyBorder="1" applyAlignment="1">
      <alignment wrapText="1"/>
    </xf>
    <xf numFmtId="0" fontId="2" fillId="7" borderId="15" xfId="0" applyFont="1" applyFill="1" applyBorder="1" applyAlignment="1"/>
    <xf numFmtId="0" fontId="0" fillId="7" borderId="12" xfId="0" applyFill="1" applyBorder="1" applyAlignment="1">
      <alignment horizontal="left" vertical="top" wrapText="1"/>
    </xf>
    <xf numFmtId="0" fontId="0" fillId="0" borderId="0" xfId="0" applyFill="1" applyProtection="1">
      <protection locked="0"/>
    </xf>
    <xf numFmtId="0" fontId="27" fillId="7" borderId="5" xfId="0" applyFont="1" applyFill="1" applyBorder="1"/>
    <xf numFmtId="0" fontId="27" fillId="7" borderId="113" xfId="0" applyFont="1" applyFill="1" applyBorder="1"/>
    <xf numFmtId="172" fontId="27" fillId="7" borderId="112" xfId="0" applyNumberFormat="1" applyFont="1" applyFill="1" applyBorder="1"/>
    <xf numFmtId="172" fontId="27" fillId="7" borderId="16" xfId="0" applyNumberFormat="1" applyFont="1" applyFill="1" applyBorder="1"/>
    <xf numFmtId="0" fontId="1" fillId="10" borderId="28" xfId="0" applyFont="1" applyFill="1" applyBorder="1"/>
    <xf numFmtId="0" fontId="19" fillId="10" borderId="12" xfId="0" applyFont="1" applyFill="1" applyBorder="1" applyAlignment="1">
      <alignment horizontal="center"/>
    </xf>
    <xf numFmtId="0" fontId="28" fillId="0" borderId="0" xfId="0" applyFont="1" applyFill="1" applyAlignment="1">
      <alignment horizontal="left"/>
    </xf>
    <xf numFmtId="0" fontId="0" fillId="9" borderId="9" xfId="0" applyFill="1" applyBorder="1" applyProtection="1">
      <protection locked="0"/>
    </xf>
    <xf numFmtId="9" fontId="0" fillId="9" borderId="9" xfId="0" applyNumberFormat="1" applyFill="1" applyBorder="1" applyProtection="1">
      <protection locked="0"/>
    </xf>
    <xf numFmtId="9" fontId="10" fillId="9" borderId="9" xfId="0" applyNumberFormat="1" applyFont="1" applyFill="1" applyBorder="1" applyAlignment="1" applyProtection="1">
      <alignment horizontal="right"/>
      <protection locked="0"/>
    </xf>
    <xf numFmtId="3" fontId="0" fillId="0" borderId="0" xfId="0" applyNumberFormat="1" applyFont="1" applyProtection="1">
      <protection hidden="1"/>
    </xf>
    <xf numFmtId="3" fontId="0" fillId="0" borderId="7" xfId="0" applyNumberFormat="1" applyFont="1" applyBorder="1" applyProtection="1">
      <protection hidden="1"/>
    </xf>
    <xf numFmtId="3" fontId="0" fillId="7" borderId="3" xfId="0" applyNumberFormat="1" applyFill="1" applyBorder="1" applyAlignment="1">
      <alignment horizontal="right"/>
    </xf>
    <xf numFmtId="3" fontId="0" fillId="7" borderId="5" xfId="0" applyNumberFormat="1" applyFill="1" applyBorder="1" applyAlignment="1">
      <alignment horizontal="right"/>
    </xf>
    <xf numFmtId="3" fontId="0" fillId="9" borderId="1" xfId="0" applyNumberFormat="1" applyFill="1" applyBorder="1" applyAlignment="1" applyProtection="1">
      <alignment horizontal="right"/>
      <protection locked="0"/>
    </xf>
    <xf numFmtId="3" fontId="0" fillId="7" borderId="4" xfId="0" applyNumberFormat="1" applyFill="1" applyBorder="1" applyAlignment="1">
      <alignment horizontal="right"/>
    </xf>
    <xf numFmtId="3" fontId="0" fillId="9" borderId="3" xfId="0" applyNumberFormat="1" applyFill="1" applyBorder="1" applyAlignment="1" applyProtection="1">
      <alignment horizontal="right"/>
      <protection locked="0"/>
    </xf>
    <xf numFmtId="0" fontId="1" fillId="10" borderId="117" xfId="0" applyFont="1" applyFill="1" applyBorder="1"/>
    <xf numFmtId="0" fontId="11" fillId="10" borderId="5" xfId="0" applyFont="1" applyFill="1" applyBorder="1" applyAlignment="1">
      <alignment horizontal="left" vertical="top"/>
    </xf>
    <xf numFmtId="0" fontId="0" fillId="7" borderId="13" xfId="0" applyFill="1" applyBorder="1"/>
    <xf numFmtId="0" fontId="0" fillId="7" borderId="5" xfId="0" applyFill="1" applyBorder="1"/>
    <xf numFmtId="0" fontId="0" fillId="7" borderId="118" xfId="0" applyFill="1" applyBorder="1"/>
    <xf numFmtId="3" fontId="0" fillId="9" borderId="86" xfId="0" applyNumberFormat="1" applyFill="1" applyBorder="1" applyAlignment="1" applyProtection="1">
      <alignment horizontal="right"/>
      <protection locked="0"/>
    </xf>
    <xf numFmtId="3" fontId="0" fillId="9" borderId="85" xfId="0" applyNumberFormat="1" applyFill="1" applyBorder="1" applyAlignment="1" applyProtection="1">
      <alignment horizontal="right"/>
      <protection locked="0"/>
    </xf>
    <xf numFmtId="3" fontId="0" fillId="7" borderId="85" xfId="0" applyNumberFormat="1" applyFill="1" applyBorder="1" applyAlignment="1">
      <alignment horizontal="right"/>
    </xf>
    <xf numFmtId="3" fontId="12" fillId="7" borderId="85" xfId="0" applyNumberFormat="1" applyFont="1" applyFill="1" applyBorder="1" applyAlignment="1">
      <alignment horizontal="right" indent="1"/>
    </xf>
    <xf numFmtId="3" fontId="0" fillId="9" borderId="123" xfId="0" applyNumberFormat="1" applyFill="1" applyBorder="1" applyAlignment="1" applyProtection="1">
      <alignment horizontal="right"/>
      <protection locked="0"/>
    </xf>
    <xf numFmtId="3" fontId="1" fillId="4" borderId="86" xfId="0" applyNumberFormat="1" applyFont="1" applyFill="1" applyBorder="1"/>
    <xf numFmtId="3" fontId="1" fillId="4" borderId="85" xfId="0" applyNumberFormat="1" applyFont="1" applyFill="1" applyBorder="1"/>
    <xf numFmtId="3" fontId="1" fillId="4" borderId="118" xfId="0" applyNumberFormat="1" applyFont="1" applyFill="1" applyBorder="1"/>
    <xf numFmtId="3" fontId="1" fillId="4" borderId="84" xfId="0" applyNumberFormat="1" applyFont="1" applyFill="1" applyBorder="1"/>
    <xf numFmtId="3" fontId="24" fillId="4" borderId="85" xfId="0" applyNumberFormat="1" applyFont="1" applyFill="1" applyBorder="1" applyAlignment="1">
      <alignment horizontal="right" indent="1"/>
    </xf>
    <xf numFmtId="3" fontId="1" fillId="4" borderId="124" xfId="0" applyNumberFormat="1" applyFont="1" applyFill="1" applyBorder="1"/>
    <xf numFmtId="3" fontId="1" fillId="4" borderId="123" xfId="0" applyNumberFormat="1" applyFont="1" applyFill="1" applyBorder="1"/>
    <xf numFmtId="0" fontId="0" fillId="10" borderId="84" xfId="0" quotePrefix="1" applyFill="1" applyBorder="1" applyAlignment="1">
      <alignment horizontal="center" vertical="top" wrapText="1"/>
    </xf>
    <xf numFmtId="0" fontId="0" fillId="10" borderId="12" xfId="0" applyFill="1" applyBorder="1" applyAlignment="1">
      <alignment horizontal="center" vertical="top" wrapText="1"/>
    </xf>
    <xf numFmtId="0" fontId="13" fillId="10" borderId="3" xfId="0" applyFont="1" applyFill="1" applyBorder="1" applyAlignment="1">
      <alignment horizontal="center" vertical="center" wrapText="1"/>
    </xf>
    <xf numFmtId="0" fontId="0" fillId="10" borderId="3" xfId="0" applyFill="1" applyBorder="1" applyAlignment="1">
      <alignment horizontal="center" vertical="top" wrapText="1"/>
    </xf>
    <xf numFmtId="0" fontId="0" fillId="10" borderId="83" xfId="0" quotePrefix="1" applyFill="1" applyBorder="1" applyAlignment="1">
      <alignment horizontal="center" vertical="top" wrapText="1"/>
    </xf>
    <xf numFmtId="0" fontId="27" fillId="0" borderId="0" xfId="0" applyFont="1" applyFill="1"/>
    <xf numFmtId="0" fontId="0" fillId="0" borderId="0" xfId="0" applyBorder="1" applyAlignment="1" applyProtection="1">
      <alignment horizontal="right"/>
      <protection hidden="1"/>
    </xf>
    <xf numFmtId="3" fontId="0" fillId="7" borderId="13" xfId="0" applyNumberFormat="1" applyFill="1" applyBorder="1" applyAlignment="1">
      <alignment horizontal="right" vertical="top" wrapText="1"/>
    </xf>
    <xf numFmtId="3" fontId="0" fillId="7" borderId="13" xfId="0" applyNumberFormat="1" applyFill="1" applyBorder="1" applyAlignment="1">
      <alignment horizontal="right"/>
    </xf>
    <xf numFmtId="3" fontId="0" fillId="7" borderId="1" xfId="0" applyNumberFormat="1" applyFill="1" applyBorder="1" applyAlignment="1">
      <alignment horizontal="right"/>
    </xf>
    <xf numFmtId="3" fontId="0" fillId="7" borderId="118" xfId="0" applyNumberFormat="1" applyFill="1" applyBorder="1" applyAlignment="1">
      <alignment horizontal="right"/>
    </xf>
    <xf numFmtId="3" fontId="0" fillId="0" borderId="13" xfId="0" applyNumberFormat="1" applyFill="1" applyBorder="1" applyAlignment="1" applyProtection="1">
      <alignment horizontal="right" vertical="top" wrapText="1"/>
    </xf>
    <xf numFmtId="3" fontId="0" fillId="0" borderId="3" xfId="0" applyNumberFormat="1" applyFill="1" applyBorder="1" applyAlignment="1" applyProtection="1">
      <alignment horizontal="right"/>
    </xf>
    <xf numFmtId="3" fontId="0" fillId="0" borderId="13" xfId="0" applyNumberFormat="1" applyFill="1" applyBorder="1" applyAlignment="1" applyProtection="1">
      <alignment horizontal="right"/>
    </xf>
    <xf numFmtId="3" fontId="0" fillId="0" borderId="5" xfId="0" applyNumberFormat="1" applyFill="1" applyBorder="1" applyAlignment="1" applyProtection="1">
      <alignment horizontal="right"/>
    </xf>
    <xf numFmtId="3" fontId="0" fillId="0" borderId="1" xfId="0" applyNumberFormat="1" applyFill="1" applyBorder="1" applyAlignment="1" applyProtection="1">
      <alignment horizontal="right"/>
    </xf>
    <xf numFmtId="0" fontId="0" fillId="10" borderId="2" xfId="0" applyFill="1" applyBorder="1" applyAlignment="1" applyProtection="1">
      <alignment horizontal="center" vertical="top" wrapText="1"/>
    </xf>
    <xf numFmtId="3" fontId="0" fillId="0" borderId="14" xfId="0" applyNumberFormat="1" applyFill="1" applyBorder="1" applyAlignment="1" applyProtection="1">
      <alignment horizontal="right" vertical="top" wrapText="1"/>
    </xf>
    <xf numFmtId="3" fontId="0" fillId="0" borderId="4" xfId="0" applyNumberFormat="1" applyFill="1" applyBorder="1" applyAlignment="1" applyProtection="1">
      <alignment horizontal="right"/>
    </xf>
    <xf numFmtId="3" fontId="0" fillId="0" borderId="14" xfId="0" applyNumberFormat="1" applyFill="1" applyBorder="1" applyAlignment="1" applyProtection="1">
      <alignment horizontal="right"/>
    </xf>
    <xf numFmtId="3" fontId="0" fillId="0" borderId="6" xfId="0" applyNumberFormat="1" applyFill="1" applyBorder="1" applyAlignment="1" applyProtection="1">
      <alignment horizontal="right"/>
    </xf>
    <xf numFmtId="3" fontId="0" fillId="0" borderId="2" xfId="0" applyNumberFormat="1" applyFill="1" applyBorder="1" applyAlignment="1" applyProtection="1">
      <alignment horizontal="right"/>
    </xf>
    <xf numFmtId="0" fontId="18" fillId="10" borderId="94" xfId="0" applyFont="1" applyFill="1" applyBorder="1" applyAlignment="1">
      <alignment horizontal="centerContinuous"/>
    </xf>
    <xf numFmtId="3" fontId="6" fillId="0" borderId="120" xfId="0" applyNumberFormat="1" applyFont="1" applyFill="1" applyBorder="1" applyAlignment="1" applyProtection="1">
      <alignment horizontal="right" vertical="top" wrapText="1"/>
    </xf>
    <xf numFmtId="3" fontId="6" fillId="0" borderId="119" xfId="0" applyNumberFormat="1" applyFont="1" applyFill="1" applyBorder="1" applyAlignment="1" applyProtection="1">
      <alignment horizontal="right"/>
    </xf>
    <xf numFmtId="3" fontId="6" fillId="0" borderId="120" xfId="0" applyNumberFormat="1" applyFont="1" applyFill="1" applyBorder="1" applyAlignment="1" applyProtection="1">
      <alignment horizontal="right"/>
    </xf>
    <xf numFmtId="3" fontId="6" fillId="0" borderId="121" xfId="0" applyNumberFormat="1" applyFont="1" applyFill="1" applyBorder="1" applyAlignment="1" applyProtection="1">
      <alignment horizontal="right"/>
    </xf>
    <xf numFmtId="3" fontId="6" fillId="0" borderId="122" xfId="0" applyNumberFormat="1" applyFont="1" applyFill="1" applyBorder="1" applyAlignment="1" applyProtection="1">
      <alignment horizontal="right"/>
    </xf>
    <xf numFmtId="3" fontId="6" fillId="0" borderId="61" xfId="0" applyNumberFormat="1" applyFont="1" applyFill="1" applyBorder="1" applyAlignment="1" applyProtection="1">
      <alignment horizontal="right"/>
    </xf>
    <xf numFmtId="0" fontId="0" fillId="6" borderId="0" xfId="0" applyFill="1" applyBorder="1"/>
    <xf numFmtId="3" fontId="6" fillId="0" borderId="9" xfId="0" applyNumberFormat="1" applyFont="1" applyFill="1" applyBorder="1" applyAlignment="1" applyProtection="1">
      <alignment horizontal="right" vertical="top" wrapText="1"/>
    </xf>
    <xf numFmtId="3" fontId="6" fillId="0" borderId="15" xfId="0" applyNumberFormat="1" applyFont="1" applyFill="1" applyBorder="1" applyAlignment="1" applyProtection="1">
      <alignment horizontal="right"/>
    </xf>
    <xf numFmtId="3" fontId="6" fillId="0" borderId="12" xfId="0" applyNumberFormat="1" applyFont="1" applyFill="1" applyBorder="1" applyAlignment="1" applyProtection="1">
      <alignment horizontal="right"/>
    </xf>
    <xf numFmtId="3" fontId="6" fillId="0" borderId="16" xfId="0" applyNumberFormat="1" applyFont="1" applyFill="1" applyBorder="1" applyAlignment="1" applyProtection="1">
      <alignment horizontal="right"/>
    </xf>
    <xf numFmtId="3" fontId="6" fillId="0" borderId="9" xfId="0" applyNumberFormat="1" applyFont="1" applyFill="1" applyBorder="1" applyAlignment="1" applyProtection="1">
      <alignment horizontal="right"/>
    </xf>
    <xf numFmtId="0" fontId="18" fillId="10" borderId="95" xfId="0" applyFont="1" applyFill="1" applyBorder="1" applyAlignment="1">
      <alignment horizontal="centerContinuous"/>
    </xf>
    <xf numFmtId="0" fontId="18" fillId="10" borderId="93" xfId="0" applyFont="1" applyFill="1" applyBorder="1" applyAlignment="1">
      <alignment horizontal="centerContinuous"/>
    </xf>
    <xf numFmtId="0" fontId="0" fillId="6" borderId="119" xfId="0" applyFill="1" applyBorder="1"/>
    <xf numFmtId="3" fontId="6" fillId="0" borderId="85" xfId="0" applyNumberFormat="1" applyFont="1" applyFill="1" applyBorder="1" applyAlignment="1" applyProtection="1">
      <alignment horizontal="right"/>
    </xf>
    <xf numFmtId="3" fontId="6" fillId="0" borderId="86" xfId="0" applyNumberFormat="1" applyFont="1" applyFill="1" applyBorder="1" applyAlignment="1" applyProtection="1">
      <alignment horizontal="right"/>
    </xf>
    <xf numFmtId="0" fontId="18" fillId="10" borderId="129" xfId="0" applyFont="1" applyFill="1" applyBorder="1" applyAlignment="1" applyProtection="1">
      <alignment horizontal="center" vertical="top" wrapText="1"/>
    </xf>
    <xf numFmtId="0" fontId="18" fillId="10" borderId="93" xfId="0" applyFont="1" applyFill="1" applyBorder="1" applyAlignment="1" applyProtection="1">
      <alignment horizontal="center" vertical="top" wrapText="1"/>
    </xf>
    <xf numFmtId="3" fontId="30" fillId="9" borderId="17" xfId="0" applyNumberFormat="1" applyFont="1" applyFill="1" applyBorder="1" applyAlignment="1" applyProtection="1">
      <alignment horizontal="right" vertical="top" wrapText="1"/>
      <protection locked="0"/>
    </xf>
    <xf numFmtId="3" fontId="30" fillId="9" borderId="0" xfId="0" applyNumberFormat="1" applyFont="1" applyFill="1" applyBorder="1" applyAlignment="1" applyProtection="1">
      <alignment horizontal="right"/>
      <protection locked="0"/>
    </xf>
    <xf numFmtId="3" fontId="30" fillId="9" borderId="17" xfId="0" applyNumberFormat="1" applyFont="1" applyFill="1" applyBorder="1" applyAlignment="1" applyProtection="1">
      <alignment horizontal="right"/>
      <protection locked="0"/>
    </xf>
    <xf numFmtId="3" fontId="30" fillId="9" borderId="7" xfId="0" applyNumberFormat="1" applyFont="1" applyFill="1" applyBorder="1" applyAlignment="1" applyProtection="1">
      <alignment horizontal="right"/>
      <protection locked="0"/>
    </xf>
    <xf numFmtId="3" fontId="30" fillId="9" borderId="8" xfId="0" applyNumberFormat="1" applyFont="1" applyFill="1" applyBorder="1" applyAlignment="1" applyProtection="1">
      <alignment horizontal="right"/>
      <protection locked="0"/>
    </xf>
    <xf numFmtId="3" fontId="30" fillId="9" borderId="62" xfId="0" applyNumberFormat="1" applyFont="1" applyFill="1" applyBorder="1" applyAlignment="1" applyProtection="1">
      <alignment horizontal="right"/>
      <protection locked="0"/>
    </xf>
    <xf numFmtId="0" fontId="0" fillId="10" borderId="4" xfId="0" applyFill="1" applyBorder="1" applyAlignment="1">
      <alignment horizontal="center" vertical="top" wrapText="1"/>
    </xf>
    <xf numFmtId="3" fontId="0" fillId="7" borderId="14" xfId="0" applyNumberFormat="1" applyFill="1" applyBorder="1" applyAlignment="1">
      <alignment horizontal="right" vertical="top" wrapText="1"/>
    </xf>
    <xf numFmtId="3" fontId="0" fillId="7" borderId="14" xfId="0" applyNumberFormat="1" applyFill="1" applyBorder="1" applyAlignment="1">
      <alignment horizontal="right"/>
    </xf>
    <xf numFmtId="3" fontId="0" fillId="7" borderId="6" xfId="0" applyNumberFormat="1" applyFill="1" applyBorder="1" applyAlignment="1">
      <alignment horizontal="right"/>
    </xf>
    <xf numFmtId="3" fontId="0" fillId="7" borderId="2" xfId="0" applyNumberFormat="1" applyFill="1" applyBorder="1" applyAlignment="1">
      <alignment horizontal="right"/>
    </xf>
    <xf numFmtId="3" fontId="0" fillId="7" borderId="124" xfId="0" applyNumberFormat="1" applyFill="1" applyBorder="1" applyAlignment="1">
      <alignment horizontal="right"/>
    </xf>
    <xf numFmtId="0" fontId="29" fillId="10" borderId="94" xfId="0" applyFont="1" applyFill="1" applyBorder="1" applyAlignment="1">
      <alignment horizontal="center" vertical="top" wrapText="1"/>
    </xf>
    <xf numFmtId="0" fontId="29" fillId="10" borderId="128" xfId="0" applyFont="1" applyFill="1" applyBorder="1" applyAlignment="1">
      <alignment horizontal="center" vertical="top" wrapText="1"/>
    </xf>
    <xf numFmtId="3" fontId="30" fillId="7" borderId="88" xfId="0" applyNumberFormat="1" applyFont="1" applyFill="1" applyBorder="1" applyAlignment="1">
      <alignment horizontal="right" vertical="top" wrapText="1"/>
    </xf>
    <xf numFmtId="3" fontId="30" fillId="9" borderId="91" xfId="0" applyNumberFormat="1" applyFont="1" applyFill="1" applyBorder="1" applyAlignment="1" applyProtection="1">
      <alignment horizontal="right" vertical="top" wrapText="1"/>
      <protection locked="0"/>
    </xf>
    <xf numFmtId="3" fontId="30" fillId="9" borderId="88" xfId="0" applyNumberFormat="1" applyFont="1" applyFill="1" applyBorder="1" applyAlignment="1" applyProtection="1">
      <alignment horizontal="right"/>
      <protection locked="0"/>
    </xf>
    <xf numFmtId="3" fontId="30" fillId="9" borderId="87" xfId="0" applyNumberFormat="1" applyFont="1" applyFill="1" applyBorder="1" applyAlignment="1" applyProtection="1">
      <alignment horizontal="right"/>
      <protection locked="0"/>
    </xf>
    <xf numFmtId="3" fontId="30" fillId="9" borderId="84" xfId="0" applyNumberFormat="1" applyFont="1" applyFill="1" applyBorder="1" applyAlignment="1" applyProtection="1">
      <alignment horizontal="right"/>
      <protection locked="0"/>
    </xf>
    <xf numFmtId="3" fontId="30" fillId="9" borderId="83" xfId="0" applyNumberFormat="1" applyFont="1" applyFill="1" applyBorder="1" applyAlignment="1" applyProtection="1">
      <alignment horizontal="right"/>
      <protection locked="0"/>
    </xf>
    <xf numFmtId="3" fontId="30" fillId="9" borderId="90" xfId="0" applyNumberFormat="1" applyFont="1" applyFill="1" applyBorder="1" applyAlignment="1" applyProtection="1">
      <alignment horizontal="right"/>
      <protection locked="0"/>
    </xf>
    <xf numFmtId="3" fontId="30" fillId="7" borderId="90" xfId="0" applyNumberFormat="1" applyFont="1" applyFill="1" applyBorder="1" applyAlignment="1">
      <alignment horizontal="right"/>
    </xf>
    <xf numFmtId="3" fontId="30" fillId="9" borderId="89" xfId="0" applyNumberFormat="1" applyFont="1" applyFill="1" applyBorder="1" applyAlignment="1" applyProtection="1">
      <alignment horizontal="right"/>
      <protection locked="0"/>
    </xf>
    <xf numFmtId="3" fontId="30" fillId="9" borderId="91" xfId="0" applyNumberFormat="1" applyFont="1" applyFill="1" applyBorder="1" applyAlignment="1" applyProtection="1">
      <alignment horizontal="right"/>
      <protection locked="0"/>
    </xf>
    <xf numFmtId="3" fontId="30" fillId="7" borderId="86" xfId="0" applyNumberFormat="1" applyFont="1" applyFill="1" applyBorder="1" applyAlignment="1">
      <alignment horizontal="right"/>
    </xf>
    <xf numFmtId="3" fontId="30" fillId="9" borderId="123" xfId="0" applyNumberFormat="1" applyFont="1" applyFill="1" applyBorder="1" applyAlignment="1" applyProtection="1">
      <alignment horizontal="right"/>
      <protection locked="0"/>
    </xf>
    <xf numFmtId="0" fontId="18" fillId="8" borderId="95" xfId="0" applyFont="1" applyFill="1" applyBorder="1" applyAlignment="1" applyProtection="1">
      <alignment horizontal="center" vertical="top" wrapText="1"/>
    </xf>
    <xf numFmtId="0" fontId="18" fillId="8" borderId="127" xfId="0" applyFont="1" applyFill="1" applyBorder="1" applyAlignment="1" applyProtection="1">
      <alignment horizontal="center" vertical="top" wrapText="1"/>
    </xf>
    <xf numFmtId="0" fontId="29" fillId="8" borderId="80" xfId="0" applyFont="1" applyFill="1" applyBorder="1" applyAlignment="1">
      <alignment horizontal="center" vertical="top" wrapText="1"/>
    </xf>
    <xf numFmtId="3" fontId="29" fillId="8" borderId="85" xfId="0" applyNumberFormat="1" applyFont="1" applyFill="1" applyBorder="1"/>
    <xf numFmtId="0" fontId="7" fillId="3" borderId="0" xfId="0" applyFont="1" applyFill="1" applyAlignment="1">
      <alignment vertical="top"/>
    </xf>
    <xf numFmtId="3" fontId="1" fillId="7" borderId="15" xfId="0" applyNumberFormat="1" applyFont="1" applyFill="1" applyBorder="1"/>
    <xf numFmtId="0" fontId="1" fillId="7" borderId="5" xfId="0" applyFont="1" applyFill="1" applyBorder="1"/>
    <xf numFmtId="3" fontId="1" fillId="7" borderId="16" xfId="0" applyNumberFormat="1" applyFont="1" applyFill="1" applyBorder="1"/>
    <xf numFmtId="9" fontId="0" fillId="7" borderId="15" xfId="0" applyNumberFormat="1" applyFill="1" applyBorder="1"/>
    <xf numFmtId="0" fontId="32" fillId="6" borderId="0" xfId="0" applyFont="1" applyFill="1"/>
    <xf numFmtId="0" fontId="33" fillId="6" borderId="0" xfId="0" applyFont="1" applyFill="1"/>
    <xf numFmtId="0" fontId="8" fillId="9" borderId="13" xfId="0" applyFont="1" applyFill="1" applyBorder="1" applyAlignment="1" applyProtection="1">
      <alignment horizontal="left"/>
      <protection locked="0"/>
    </xf>
    <xf numFmtId="0" fontId="8" fillId="9" borderId="14" xfId="0" applyFont="1" applyFill="1" applyBorder="1" applyAlignment="1" applyProtection="1">
      <alignment horizontal="left"/>
      <protection locked="0"/>
    </xf>
    <xf numFmtId="0" fontId="0" fillId="9" borderId="42" xfId="0" applyFill="1" applyBorder="1" applyProtection="1">
      <protection locked="0"/>
    </xf>
    <xf numFmtId="0" fontId="0" fillId="9" borderId="43" xfId="0" applyFill="1" applyBorder="1" applyProtection="1">
      <protection locked="0"/>
    </xf>
    <xf numFmtId="0" fontId="0" fillId="9" borderId="44" xfId="0" applyFill="1" applyBorder="1" applyProtection="1">
      <protection locked="0"/>
    </xf>
    <xf numFmtId="0" fontId="0" fillId="9" borderId="45" xfId="0" applyFill="1" applyBorder="1" applyProtection="1">
      <protection locked="0"/>
    </xf>
    <xf numFmtId="0" fontId="0" fillId="9" borderId="40" xfId="0" applyFill="1" applyBorder="1" applyProtection="1">
      <protection locked="0"/>
    </xf>
    <xf numFmtId="0" fontId="0" fillId="9" borderId="41" xfId="0" applyFill="1" applyBorder="1" applyProtection="1">
      <protection locked="0"/>
    </xf>
    <xf numFmtId="0" fontId="1" fillId="10" borderId="114" xfId="0" applyFont="1" applyFill="1" applyBorder="1" applyAlignment="1">
      <alignment horizontal="center"/>
    </xf>
    <xf numFmtId="0" fontId="1" fillId="10" borderId="115" xfId="0" applyFont="1" applyFill="1" applyBorder="1" applyAlignment="1">
      <alignment horizontal="center"/>
    </xf>
    <xf numFmtId="0" fontId="1" fillId="10" borderId="116" xfId="0" applyFont="1" applyFill="1" applyBorder="1" applyAlignment="1">
      <alignment horizontal="center"/>
    </xf>
    <xf numFmtId="3" fontId="9" fillId="8" borderId="125" xfId="0" applyNumberFormat="1" applyFont="1" applyFill="1" applyBorder="1" applyAlignment="1">
      <alignment horizontal="center"/>
    </xf>
    <xf numFmtId="3" fontId="9" fillId="8" borderId="126" xfId="0" applyNumberFormat="1" applyFont="1" applyFill="1" applyBorder="1" applyAlignment="1">
      <alignment horizontal="center"/>
    </xf>
    <xf numFmtId="0" fontId="29" fillId="10" borderId="95" xfId="0" applyFont="1" applyFill="1" applyBorder="1" applyAlignment="1">
      <alignment horizontal="center"/>
    </xf>
    <xf numFmtId="0" fontId="29" fillId="10" borderId="94" xfId="0" applyFont="1" applyFill="1" applyBorder="1" applyAlignment="1">
      <alignment horizontal="center"/>
    </xf>
    <xf numFmtId="0" fontId="29" fillId="10" borderId="93" xfId="0" applyFont="1" applyFill="1" applyBorder="1" applyAlignment="1">
      <alignment horizontal="center"/>
    </xf>
    <xf numFmtId="171" fontId="0" fillId="7" borderId="12" xfId="0" applyNumberFormat="1" applyFill="1" applyBorder="1"/>
    <xf numFmtId="172" fontId="0" fillId="7" borderId="12" xfId="0" applyNumberFormat="1" applyFill="1" applyBorder="1"/>
    <xf numFmtId="6" fontId="0" fillId="7" borderId="16" xfId="0" applyNumberFormat="1" applyFont="1" applyFill="1" applyBorder="1"/>
    <xf numFmtId="0" fontId="1" fillId="10" borderId="9" xfId="0" applyFont="1" applyFill="1" applyBorder="1"/>
    <xf numFmtId="172" fontId="0" fillId="7" borderId="15" xfId="0" applyNumberFormat="1" applyFill="1" applyBorder="1"/>
    <xf numFmtId="172" fontId="27" fillId="7" borderId="16" xfId="0" applyNumberFormat="1" applyFont="1" applyFill="1" applyBorder="1"/>
    <xf numFmtId="172" fontId="27" fillId="7" borderId="112" xfId="0" applyNumberFormat="1" applyFont="1" applyFill="1" applyBorder="1" applyAlignment="1">
      <alignment horizontal="right"/>
    </xf>
    <xf numFmtId="3" fontId="1" fillId="4" borderId="15" xfId="0" applyNumberFormat="1" applyFont="1" applyFill="1" applyBorder="1"/>
    <xf numFmtId="3" fontId="0" fillId="7" borderId="16" xfId="0" applyNumberFormat="1" applyFont="1" applyFill="1" applyBorder="1"/>
    <xf numFmtId="171" fontId="0" fillId="7" borderId="15" xfId="0" applyNumberFormat="1" applyFill="1" applyBorder="1"/>
    <xf numFmtId="171" fontId="27" fillId="7" borderId="16" xfId="0" applyNumberFormat="1" applyFont="1" applyFill="1" applyBorder="1"/>
    <xf numFmtId="171" fontId="27" fillId="7" borderId="112" xfId="0" applyNumberFormat="1" applyFont="1" applyFill="1" applyBorder="1"/>
    <xf numFmtId="6" fontId="1" fillId="4" borderId="15" xfId="0" applyNumberFormat="1" applyFont="1" applyFill="1" applyBorder="1"/>
  </cellXfs>
  <cellStyles count="2">
    <cellStyle name="Hyperlink" xfId="1" builtinId="8"/>
    <cellStyle name="Normal" xfId="0" builtinId="0"/>
  </cellStyles>
  <dxfs count="11">
    <dxf>
      <font>
        <color rgb="FFFF0000"/>
      </font>
      <fill>
        <patternFill>
          <bgColor rgb="FFFF0000"/>
        </patternFill>
      </fill>
    </dxf>
    <dxf>
      <fill>
        <patternFill>
          <bgColor rgb="FFFF5050"/>
        </patternFill>
      </fill>
    </dxf>
    <dxf>
      <fill>
        <patternFill>
          <bgColor rgb="FFFF5050"/>
        </patternFill>
      </fill>
    </dxf>
    <dxf>
      <fill>
        <patternFill>
          <bgColor rgb="FFFF7C80"/>
        </patternFill>
      </fill>
    </dxf>
    <dxf>
      <fill>
        <patternFill>
          <bgColor rgb="FFFF505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0F4AA"/>
      <color rgb="FFF87728"/>
      <color rgb="FFFCC9AA"/>
      <color rgb="FFFF7C80"/>
      <color rgb="FFFF5050"/>
      <color rgb="FFFF0000"/>
      <color rgb="FF9EA615"/>
      <color rgb="FFFFFFDC"/>
      <color rgb="FFFAB082"/>
      <color rgb="FFE7ED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Annual Average AE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Average</c:v>
          </c:tx>
          <c:spPr>
            <a:solidFill>
              <a:schemeClr val="accent1"/>
            </a:solidFill>
            <a:ln>
              <a:noFill/>
            </a:ln>
            <a:effectLst/>
          </c:spPr>
          <c:invertIfNegative val="0"/>
          <c:val>
            <c:numRef>
              <c:f>HerdFlow!$T$134:$AF$134</c:f>
            </c:numRef>
          </c:val>
          <c:extLst>
            <c:ext xmlns:c16="http://schemas.microsoft.com/office/drawing/2014/chart" uri="{C3380CC4-5D6E-409C-BE32-E72D297353CC}">
              <c16:uniqueId val="{00000000-1E49-40CC-9AB0-B5EBE1035077}"/>
            </c:ext>
          </c:extLst>
        </c:ser>
        <c:dLbls>
          <c:showLegendKey val="0"/>
          <c:showVal val="0"/>
          <c:showCatName val="0"/>
          <c:showSerName val="0"/>
          <c:showPercent val="0"/>
          <c:showBubbleSize val="0"/>
        </c:dLbls>
        <c:gapWidth val="219"/>
        <c:overlap val="-27"/>
        <c:axId val="1359806847"/>
        <c:axId val="1359808095"/>
      </c:barChart>
      <c:lineChart>
        <c:grouping val="standard"/>
        <c:varyColors val="0"/>
        <c:ser>
          <c:idx val="1"/>
          <c:order val="1"/>
          <c:tx>
            <c:v>Forward Pass</c:v>
          </c:tx>
          <c:spPr>
            <a:ln w="28575" cap="rnd">
              <a:solidFill>
                <a:schemeClr val="accent2"/>
              </a:solidFill>
              <a:round/>
            </a:ln>
            <a:effectLst/>
          </c:spPr>
          <c:marker>
            <c:symbol val="none"/>
          </c:marker>
          <c:val>
            <c:numRef>
              <c:f>HerdFlow!$T$132:$AF$132</c:f>
            </c:numRef>
          </c:val>
          <c:smooth val="0"/>
          <c:extLst>
            <c:ext xmlns:c16="http://schemas.microsoft.com/office/drawing/2014/chart" uri="{C3380CC4-5D6E-409C-BE32-E72D297353CC}">
              <c16:uniqueId val="{00000001-FA96-4DEB-8817-329FABF00753}"/>
            </c:ext>
          </c:extLst>
        </c:ser>
        <c:ser>
          <c:idx val="2"/>
          <c:order val="2"/>
          <c:tx>
            <c:v>Backward Pass</c:v>
          </c:tx>
          <c:spPr>
            <a:ln w="28575" cap="rnd">
              <a:solidFill>
                <a:schemeClr val="accent3"/>
              </a:solidFill>
              <a:round/>
            </a:ln>
            <a:effectLst/>
          </c:spPr>
          <c:marker>
            <c:symbol val="none"/>
          </c:marker>
          <c:val>
            <c:numRef>
              <c:f>HerdFlow!$T$133:$AF$133</c:f>
            </c:numRef>
          </c:val>
          <c:smooth val="0"/>
          <c:extLst>
            <c:ext xmlns:c16="http://schemas.microsoft.com/office/drawing/2014/chart" uri="{C3380CC4-5D6E-409C-BE32-E72D297353CC}">
              <c16:uniqueId val="{00000002-FA96-4DEB-8817-329FABF00753}"/>
            </c:ext>
          </c:extLst>
        </c:ser>
        <c:ser>
          <c:idx val="3"/>
          <c:order val="3"/>
          <c:tx>
            <c:v>Annual Average</c:v>
          </c:tx>
          <c:spPr>
            <a:ln w="28575" cap="rnd">
              <a:solidFill>
                <a:schemeClr val="accent4"/>
              </a:solidFill>
              <a:round/>
            </a:ln>
            <a:effectLst/>
          </c:spPr>
          <c:marker>
            <c:symbol val="none"/>
          </c:marker>
          <c:val>
            <c:numRef>
              <c:f>HerdFlow!$T$136:$AF$136</c:f>
            </c:numRef>
          </c:val>
          <c:smooth val="0"/>
          <c:extLst>
            <c:ext xmlns:c16="http://schemas.microsoft.com/office/drawing/2014/chart" uri="{C3380CC4-5D6E-409C-BE32-E72D297353CC}">
              <c16:uniqueId val="{00000003-FA96-4DEB-8817-329FABF00753}"/>
            </c:ext>
          </c:extLst>
        </c:ser>
        <c:dLbls>
          <c:showLegendKey val="0"/>
          <c:showVal val="0"/>
          <c:showCatName val="0"/>
          <c:showSerName val="0"/>
          <c:showPercent val="0"/>
          <c:showBubbleSize val="0"/>
        </c:dLbls>
        <c:marker val="1"/>
        <c:smooth val="0"/>
        <c:axId val="1359806847"/>
        <c:axId val="1359808095"/>
      </c:lineChart>
      <c:catAx>
        <c:axId val="13598068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808095"/>
        <c:crosses val="autoZero"/>
        <c:auto val="1"/>
        <c:lblAlgn val="ctr"/>
        <c:lblOffset val="100"/>
        <c:noMultiLvlLbl val="0"/>
      </c:catAx>
      <c:valAx>
        <c:axId val="135980809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806847"/>
        <c:crosses val="autoZero"/>
        <c:crossBetween val="between"/>
      </c:valAx>
      <c:spPr>
        <a:noFill/>
        <a:ln>
          <a:noFill/>
        </a:ln>
        <a:effectLst/>
      </c:spPr>
    </c:plotArea>
    <c:legend>
      <c:legendPos val="r"/>
      <c:layout>
        <c:manualLayout>
          <c:xMode val="edge"/>
          <c:yMode val="edge"/>
          <c:x val="0.72191557036288412"/>
          <c:y val="0.16147639753985976"/>
          <c:w val="0.25143275902393392"/>
          <c:h val="0.2343723900184118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www.bushagri.com.au/abr" TargetMode="External"/><Relationship Id="rId1" Type="http://schemas.openxmlformats.org/officeDocument/2006/relationships/image" Target="../media/image5.png"/><Relationship Id="rId5" Type="http://schemas.openxmlformats.org/officeDocument/2006/relationships/image" Target="../media/image8.jpeg"/><Relationship Id="rId4" Type="http://schemas.openxmlformats.org/officeDocument/2006/relationships/hyperlink" Target="https://www.bushagri.com.au/the-business-analyse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2819400</xdr:colOff>
      <xdr:row>11</xdr:row>
      <xdr:rowOff>9525</xdr:rowOff>
    </xdr:from>
    <xdr:to>
      <xdr:col>1</xdr:col>
      <xdr:colOff>3566067</xdr:colOff>
      <xdr:row>12</xdr:row>
      <xdr:rowOff>17115</xdr:rowOff>
    </xdr:to>
    <xdr:pic>
      <xdr:nvPicPr>
        <xdr:cNvPr id="2" name="Picture 1">
          <a:extLst>
            <a:ext uri="{FF2B5EF4-FFF2-40B4-BE49-F238E27FC236}">
              <a16:creationId xmlns:a16="http://schemas.microsoft.com/office/drawing/2014/main" id="{AE46D780-1930-4492-9F31-4B9D617B40E8}"/>
            </a:ext>
          </a:extLst>
        </xdr:cNvPr>
        <xdr:cNvPicPr>
          <a:picLocks noChangeAspect="1"/>
        </xdr:cNvPicPr>
      </xdr:nvPicPr>
      <xdr:blipFill rotWithShape="1">
        <a:blip xmlns:r="http://schemas.openxmlformats.org/officeDocument/2006/relationships" r:embed="rId1"/>
        <a:srcRect t="20003"/>
        <a:stretch/>
      </xdr:blipFill>
      <xdr:spPr>
        <a:xfrm>
          <a:off x="3200400" y="3381375"/>
          <a:ext cx="742857" cy="190470"/>
        </a:xfrm>
        <a:prstGeom prst="rect">
          <a:avLst/>
        </a:prstGeom>
        <a:ln>
          <a:solidFill>
            <a:schemeClr val="bg1">
              <a:lumMod val="50000"/>
            </a:schemeClr>
          </a:solidFill>
        </a:ln>
      </xdr:spPr>
    </xdr:pic>
    <xdr:clientData/>
  </xdr:twoCellAnchor>
  <xdr:twoCellAnchor editAs="oneCell">
    <xdr:from>
      <xdr:col>1</xdr:col>
      <xdr:colOff>2238375</xdr:colOff>
      <xdr:row>12</xdr:row>
      <xdr:rowOff>28575</xdr:rowOff>
    </xdr:from>
    <xdr:to>
      <xdr:col>1</xdr:col>
      <xdr:colOff>2880136</xdr:colOff>
      <xdr:row>12</xdr:row>
      <xdr:rowOff>205740</xdr:rowOff>
    </xdr:to>
    <xdr:pic>
      <xdr:nvPicPr>
        <xdr:cNvPr id="5" name="Picture 4">
          <a:extLst>
            <a:ext uri="{FF2B5EF4-FFF2-40B4-BE49-F238E27FC236}">
              <a16:creationId xmlns:a16="http://schemas.microsoft.com/office/drawing/2014/main" id="{CEADB4B4-7242-42C8-97D4-5E3A5E642B1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4288" r="22400" b="4761"/>
        <a:stretch/>
      </xdr:blipFill>
      <xdr:spPr bwMode="auto">
        <a:xfrm>
          <a:off x="2619375" y="3590925"/>
          <a:ext cx="649381"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6273165</xdr:colOff>
      <xdr:row>47</xdr:row>
      <xdr:rowOff>140970</xdr:rowOff>
    </xdr:from>
    <xdr:to>
      <xdr:col>1</xdr:col>
      <xdr:colOff>8905875</xdr:colOff>
      <xdr:row>53</xdr:row>
      <xdr:rowOff>124003</xdr:rowOff>
    </xdr:to>
    <xdr:pic>
      <xdr:nvPicPr>
        <xdr:cNvPr id="8" name="Picture 7">
          <a:extLst>
            <a:ext uri="{FF2B5EF4-FFF2-40B4-BE49-F238E27FC236}">
              <a16:creationId xmlns:a16="http://schemas.microsoft.com/office/drawing/2014/main" id="{276512BD-675E-4142-BFD0-46581D4F4BFC}"/>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73190" y="14923770"/>
          <a:ext cx="2632710" cy="1068883"/>
        </a:xfrm>
        <a:prstGeom prst="rect">
          <a:avLst/>
        </a:prstGeom>
      </xdr:spPr>
    </xdr:pic>
    <xdr:clientData/>
  </xdr:twoCellAnchor>
  <xdr:twoCellAnchor editAs="oneCell">
    <xdr:from>
      <xdr:col>1</xdr:col>
      <xdr:colOff>6916687</xdr:colOff>
      <xdr:row>0</xdr:row>
      <xdr:rowOff>60960</xdr:rowOff>
    </xdr:from>
    <xdr:to>
      <xdr:col>1</xdr:col>
      <xdr:colOff>8892540</xdr:colOff>
      <xdr:row>2</xdr:row>
      <xdr:rowOff>38100</xdr:rowOff>
    </xdr:to>
    <xdr:pic>
      <xdr:nvPicPr>
        <xdr:cNvPr id="6" name="Picture 5">
          <a:extLst>
            <a:ext uri="{FF2B5EF4-FFF2-40B4-BE49-F238E27FC236}">
              <a16:creationId xmlns:a16="http://schemas.microsoft.com/office/drawing/2014/main" id="{56551C1B-A962-4069-AD23-C1C62F9A505E}"/>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14807" y="60960"/>
          <a:ext cx="1975853" cy="792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209550</xdr:colOff>
      <xdr:row>2</xdr:row>
      <xdr:rowOff>19050</xdr:rowOff>
    </xdr:from>
    <xdr:to>
      <xdr:col>6</xdr:col>
      <xdr:colOff>419100</xdr:colOff>
      <xdr:row>6</xdr:row>
      <xdr:rowOff>180976</xdr:rowOff>
    </xdr:to>
    <xdr:sp macro="" textlink="">
      <xdr:nvSpPr>
        <xdr:cNvPr id="2" name="Right Brace 1">
          <a:extLst>
            <a:ext uri="{FF2B5EF4-FFF2-40B4-BE49-F238E27FC236}">
              <a16:creationId xmlns:a16="http://schemas.microsoft.com/office/drawing/2014/main" id="{87E877E6-F02E-4AB7-94C3-9BD3ED29BF96}"/>
            </a:ext>
          </a:extLst>
        </xdr:cNvPr>
        <xdr:cNvSpPr/>
      </xdr:nvSpPr>
      <xdr:spPr>
        <a:xfrm>
          <a:off x="3971925" y="2543175"/>
          <a:ext cx="209550" cy="9429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ysClr val="windowText" lastClr="000000"/>
            </a:solidFill>
          </a:endParaRPr>
        </a:p>
      </xdr:txBody>
    </xdr:sp>
    <xdr:clientData/>
  </xdr:twoCellAnchor>
  <xdr:twoCellAnchor>
    <xdr:from>
      <xdr:col>6</xdr:col>
      <xdr:colOff>560070</xdr:colOff>
      <xdr:row>3</xdr:row>
      <xdr:rowOff>0</xdr:rowOff>
    </xdr:from>
    <xdr:to>
      <xdr:col>8</xdr:col>
      <xdr:colOff>739140</xdr:colOff>
      <xdr:row>7</xdr:row>
      <xdr:rowOff>0</xdr:rowOff>
    </xdr:to>
    <xdr:sp macro="" textlink="">
      <xdr:nvSpPr>
        <xdr:cNvPr id="3" name="TextBox 2">
          <a:extLst>
            <a:ext uri="{FF2B5EF4-FFF2-40B4-BE49-F238E27FC236}">
              <a16:creationId xmlns:a16="http://schemas.microsoft.com/office/drawing/2014/main" id="{50E552BA-27FC-4790-8B02-FAD5267A9B8E}"/>
            </a:ext>
          </a:extLst>
        </xdr:cNvPr>
        <xdr:cNvSpPr txBox="1"/>
      </xdr:nvSpPr>
      <xdr:spPr>
        <a:xfrm>
          <a:off x="3960495" y="609600"/>
          <a:ext cx="237934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Make</a:t>
          </a:r>
          <a:r>
            <a:rPr lang="en-AU" sz="1100" b="1" baseline="0">
              <a:solidFill>
                <a:srgbClr val="FF0000"/>
              </a:solidFill>
            </a:rPr>
            <a:t> selections here before any data is entered for year and then do not change, or errors will be caused.</a:t>
          </a:r>
          <a:endParaRPr lang="en-AU" sz="1100" b="1">
            <a:solidFill>
              <a:srgbClr val="FF0000"/>
            </a:solidFill>
          </a:endParaRPr>
        </a:p>
      </xdr:txBody>
    </xdr:sp>
    <xdr:clientData/>
  </xdr:twoCellAnchor>
  <xdr:twoCellAnchor editAs="oneCell">
    <xdr:from>
      <xdr:col>10</xdr:col>
      <xdr:colOff>367665</xdr:colOff>
      <xdr:row>1</xdr:row>
      <xdr:rowOff>9525</xdr:rowOff>
    </xdr:from>
    <xdr:to>
      <xdr:col>14</xdr:col>
      <xdr:colOff>551154</xdr:colOff>
      <xdr:row>6</xdr:row>
      <xdr:rowOff>30480</xdr:rowOff>
    </xdr:to>
    <xdr:pic>
      <xdr:nvPicPr>
        <xdr:cNvPr id="4" name="Picture 3">
          <a:extLst>
            <a:ext uri="{FF2B5EF4-FFF2-40B4-BE49-F238E27FC236}">
              <a16:creationId xmlns:a16="http://schemas.microsoft.com/office/drawing/2014/main" id="{446FBC2A-C2C4-4C67-B98C-9A900B7E1809}"/>
            </a:ext>
          </a:extLst>
        </xdr:cNvPr>
        <xdr:cNvPicPr>
          <a:picLocks noChangeAspect="1"/>
        </xdr:cNvPicPr>
      </xdr:nvPicPr>
      <xdr:blipFill>
        <a:blip xmlns:r="http://schemas.openxmlformats.org/officeDocument/2006/relationships" r:embed="rId1"/>
        <a:stretch>
          <a:fillRect/>
        </a:stretch>
      </xdr:blipFill>
      <xdr:spPr>
        <a:xfrm>
          <a:off x="8121015" y="190500"/>
          <a:ext cx="2621889" cy="1011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552449</xdr:colOff>
      <xdr:row>136</xdr:row>
      <xdr:rowOff>28575</xdr:rowOff>
    </xdr:from>
    <xdr:to>
      <xdr:col>28</xdr:col>
      <xdr:colOff>333375</xdr:colOff>
      <xdr:row>152</xdr:row>
      <xdr:rowOff>171450</xdr:rowOff>
    </xdr:to>
    <xdr:graphicFrame macro="">
      <xdr:nvGraphicFramePr>
        <xdr:cNvPr id="2" name="Chart 1">
          <a:extLst>
            <a:ext uri="{FF2B5EF4-FFF2-40B4-BE49-F238E27FC236}">
              <a16:creationId xmlns:a16="http://schemas.microsoft.com/office/drawing/2014/main" id="{10BC9206-0D20-4933-ABC5-84D95C1280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647700</xdr:colOff>
      <xdr:row>0</xdr:row>
      <xdr:rowOff>47625</xdr:rowOff>
    </xdr:from>
    <xdr:to>
      <xdr:col>13</xdr:col>
      <xdr:colOff>15240</xdr:colOff>
      <xdr:row>2</xdr:row>
      <xdr:rowOff>130804</xdr:rowOff>
    </xdr:to>
    <xdr:pic>
      <xdr:nvPicPr>
        <xdr:cNvPr id="4" name="Picture 3">
          <a:extLst>
            <a:ext uri="{FF2B5EF4-FFF2-40B4-BE49-F238E27FC236}">
              <a16:creationId xmlns:a16="http://schemas.microsoft.com/office/drawing/2014/main" id="{3551F704-3D9A-4B25-B1AC-0364A33EE7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7575" y="47625"/>
          <a:ext cx="1329690" cy="530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196850</xdr:colOff>
      <xdr:row>71</xdr:row>
      <xdr:rowOff>76200</xdr:rowOff>
    </xdr:from>
    <xdr:to>
      <xdr:col>13</xdr:col>
      <xdr:colOff>67284</xdr:colOff>
      <xdr:row>77</xdr:row>
      <xdr:rowOff>9525</xdr:rowOff>
    </xdr:to>
    <xdr:pic>
      <xdr:nvPicPr>
        <xdr:cNvPr id="2" name="Picture 1">
          <a:extLst>
            <a:ext uri="{FF2B5EF4-FFF2-40B4-BE49-F238E27FC236}">
              <a16:creationId xmlns:a16="http://schemas.microsoft.com/office/drawing/2014/main" id="{3CA9B5A5-557D-49F8-9ECE-4FF8113E08F2}"/>
            </a:ext>
          </a:extLst>
        </xdr:cNvPr>
        <xdr:cNvPicPr>
          <a:picLocks noChangeAspect="1"/>
        </xdr:cNvPicPr>
      </xdr:nvPicPr>
      <xdr:blipFill>
        <a:blip xmlns:r="http://schemas.openxmlformats.org/officeDocument/2006/relationships" r:embed="rId1"/>
        <a:stretch>
          <a:fillRect/>
        </a:stretch>
      </xdr:blipFill>
      <xdr:spPr>
        <a:xfrm>
          <a:off x="8362950" y="12877800"/>
          <a:ext cx="2613634" cy="1000125"/>
        </a:xfrm>
        <a:prstGeom prst="rect">
          <a:avLst/>
        </a:prstGeom>
      </xdr:spPr>
    </xdr:pic>
    <xdr:clientData/>
  </xdr:twoCellAnchor>
  <xdr:twoCellAnchor editAs="oneCell">
    <xdr:from>
      <xdr:col>9</xdr:col>
      <xdr:colOff>300990</xdr:colOff>
      <xdr:row>20</xdr:row>
      <xdr:rowOff>45720</xdr:rowOff>
    </xdr:from>
    <xdr:to>
      <xdr:col>12</xdr:col>
      <xdr:colOff>643890</xdr:colOff>
      <xdr:row>24</xdr:row>
      <xdr:rowOff>122001</xdr:rowOff>
    </xdr:to>
    <xdr:pic>
      <xdr:nvPicPr>
        <xdr:cNvPr id="3" name="Picture 2">
          <a:hlinkClick xmlns:r="http://schemas.openxmlformats.org/officeDocument/2006/relationships" r:id="rId2"/>
          <a:extLst>
            <a:ext uri="{FF2B5EF4-FFF2-40B4-BE49-F238E27FC236}">
              <a16:creationId xmlns:a16="http://schemas.microsoft.com/office/drawing/2014/main" id="{D1A65F73-9A16-4AD8-B771-CA964F59CD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49515" y="3865245"/>
          <a:ext cx="2400300" cy="857331"/>
        </a:xfrm>
        <a:prstGeom prst="rect">
          <a:avLst/>
        </a:prstGeom>
      </xdr:spPr>
    </xdr:pic>
    <xdr:clientData/>
  </xdr:twoCellAnchor>
  <xdr:twoCellAnchor editAs="oneCell">
    <xdr:from>
      <xdr:col>9</xdr:col>
      <xdr:colOff>397531</xdr:colOff>
      <xdr:row>24</xdr:row>
      <xdr:rowOff>137160</xdr:rowOff>
    </xdr:from>
    <xdr:to>
      <xdr:col>12</xdr:col>
      <xdr:colOff>547349</xdr:colOff>
      <xdr:row>28</xdr:row>
      <xdr:rowOff>180975</xdr:rowOff>
    </xdr:to>
    <xdr:pic>
      <xdr:nvPicPr>
        <xdr:cNvPr id="4" name="Picture 3">
          <a:hlinkClick xmlns:r="http://schemas.openxmlformats.org/officeDocument/2006/relationships" r:id="rId4"/>
          <a:extLst>
            <a:ext uri="{FF2B5EF4-FFF2-40B4-BE49-F238E27FC236}">
              <a16:creationId xmlns:a16="http://schemas.microsoft.com/office/drawing/2014/main" id="{626D6D0A-2006-4673-90A0-6B9AE06F39A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46056" y="4737735"/>
          <a:ext cx="2207218" cy="834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jblakeley/Downloads/Zone%20weights%20by%20mon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y%20Drive\01%20Current%20Projects\03%20Tools\HerdFlow\Herdflow%20Record%20Financial%20Year%20v20.1%20-Examp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y%20Drive\01%20Current%20Projects\03%20Tools\Livestock%20Movement%20Record\Work%20in%20Progress\Livestock%20Movement%20Record%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Herd Flow"/>
      <sheetName val="Summary"/>
    </sheetNames>
    <sheetDataSet>
      <sheetData sheetId="0" refreshError="1"/>
      <sheetData sheetId="1">
        <row r="10">
          <cell r="B10" t="str">
            <v>Females: Mixed</v>
          </cell>
          <cell r="AZ10" t="str">
            <v>July</v>
          </cell>
        </row>
        <row r="11">
          <cell r="B11" t="str">
            <v>Females: #5 &amp; older</v>
          </cell>
          <cell r="AZ11" t="str">
            <v>August</v>
          </cell>
        </row>
        <row r="12">
          <cell r="B12" t="str">
            <v>Females: #6</v>
          </cell>
          <cell r="AZ12" t="str">
            <v>September</v>
          </cell>
        </row>
        <row r="13">
          <cell r="B13" t="str">
            <v>Females: #7</v>
          </cell>
          <cell r="AZ13" t="str">
            <v>October</v>
          </cell>
        </row>
        <row r="14">
          <cell r="B14" t="str">
            <v>Females: #8</v>
          </cell>
          <cell r="AZ14" t="str">
            <v>November</v>
          </cell>
        </row>
        <row r="15">
          <cell r="B15" t="str">
            <v>Females: #9</v>
          </cell>
          <cell r="AZ15" t="str">
            <v>December</v>
          </cell>
        </row>
        <row r="16">
          <cell r="B16" t="str">
            <v>Females: #0</v>
          </cell>
          <cell r="AZ16" t="str">
            <v>January</v>
          </cell>
        </row>
        <row r="17">
          <cell r="B17" t="str">
            <v>Mixed: #0</v>
          </cell>
          <cell r="AZ17" t="str">
            <v>February</v>
          </cell>
        </row>
        <row r="18">
          <cell r="B18" t="str">
            <v>Castrates: #6 &amp; older</v>
          </cell>
          <cell r="AZ18" t="str">
            <v>March</v>
          </cell>
        </row>
        <row r="19">
          <cell r="B19" t="str">
            <v>Castrates: #7</v>
          </cell>
          <cell r="AZ19" t="str">
            <v>April</v>
          </cell>
        </row>
        <row r="20">
          <cell r="B20" t="str">
            <v>Castrates: #8</v>
          </cell>
          <cell r="AZ20" t="str">
            <v>May</v>
          </cell>
        </row>
        <row r="21">
          <cell r="B21" t="str">
            <v>Castrates: #9</v>
          </cell>
          <cell r="AZ21" t="str">
            <v>June</v>
          </cell>
        </row>
        <row r="22">
          <cell r="B22" t="str">
            <v>Castrates: #0</v>
          </cell>
        </row>
        <row r="23">
          <cell r="B23" t="str">
            <v>Bulls: #8 &amp; older</v>
          </cell>
        </row>
        <row r="24">
          <cell r="B24" t="str">
            <v>Bulls: #9</v>
          </cell>
        </row>
        <row r="25">
          <cell r="B25" t="str">
            <v>Bulls: #0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s"/>
      <sheetName val="Info"/>
      <sheetName val="Summary"/>
      <sheetName val="Movements"/>
      <sheetName val="Location1"/>
      <sheetName val="Location2"/>
      <sheetName val="Location3"/>
      <sheetName val="Location4"/>
    </sheetNames>
    <sheetDataSet>
      <sheetData sheetId="0"/>
      <sheetData sheetId="1"/>
      <sheetData sheetId="2">
        <row r="4">
          <cell r="B4" t="str">
            <v>Spays &amp; Culls</v>
          </cell>
        </row>
        <row r="5">
          <cell r="B5" t="str">
            <v>#7+ Females</v>
          </cell>
        </row>
        <row r="6">
          <cell r="B6" t="str">
            <v>#8 Females</v>
          </cell>
          <cell r="T6" t="str">
            <v>External</v>
          </cell>
          <cell r="V6" t="str">
            <v>Purchase</v>
          </cell>
        </row>
        <row r="7">
          <cell r="B7" t="str">
            <v>#9 Females</v>
          </cell>
          <cell r="T7" t="str">
            <v/>
          </cell>
          <cell r="V7" t="str">
            <v>Sale</v>
          </cell>
        </row>
        <row r="8">
          <cell r="B8" t="str">
            <v>#0 Females</v>
          </cell>
          <cell r="T8" t="str">
            <v/>
          </cell>
          <cell r="V8" t="str">
            <v>Transfer</v>
          </cell>
        </row>
        <row r="9">
          <cell r="B9" t="str">
            <v>#1 Females</v>
          </cell>
          <cell r="T9" t="str">
            <v/>
          </cell>
          <cell r="V9" t="str">
            <v>Natural Increase</v>
          </cell>
        </row>
        <row r="10">
          <cell r="B10" t="str">
            <v>#1 Mixed</v>
          </cell>
          <cell r="T10"/>
          <cell r="V10"/>
        </row>
        <row r="11">
          <cell r="B11" t="str">
            <v>#8+ Steers</v>
          </cell>
          <cell r="T11" t="str">
            <v/>
          </cell>
          <cell r="V11" t="str">
            <v>Deaths</v>
          </cell>
        </row>
        <row r="12">
          <cell r="B12" t="str">
            <v>#9 Steers</v>
          </cell>
          <cell r="T12" t="str">
            <v>Births &amp; deaths</v>
          </cell>
        </row>
        <row r="13">
          <cell r="B13" t="str">
            <v>#0 Steers</v>
          </cell>
        </row>
        <row r="14">
          <cell r="B14" t="str">
            <v>#1 Steers</v>
          </cell>
        </row>
        <row r="15">
          <cell r="B15" t="str">
            <v>#8+ Bulls</v>
          </cell>
        </row>
        <row r="16">
          <cell r="B16" t="str">
            <v>#9 Bulls</v>
          </cell>
        </row>
        <row r="17">
          <cell r="B17" t="str">
            <v>#0 Bulls</v>
          </cell>
        </row>
        <row r="18">
          <cell r="B18" t="str">
            <v>#1 Bulls</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EA615"/>
  </sheetPr>
  <dimension ref="A1:I87"/>
  <sheetViews>
    <sheetView tabSelected="1" zoomScaleNormal="100" workbookViewId="0">
      <selection activeCell="B8" sqref="B8"/>
    </sheetView>
  </sheetViews>
  <sheetFormatPr defaultColWidth="0" defaultRowHeight="14.5" zeroHeight="1" x14ac:dyDescent="0.35"/>
  <cols>
    <col min="1" max="1" width="2.81640625" customWidth="1"/>
    <col min="2" max="2" width="130.7265625" customWidth="1"/>
    <col min="3" max="3" width="2.81640625" customWidth="1"/>
    <col min="4" max="6" width="9.453125" hidden="1" customWidth="1"/>
    <col min="7" max="16384" width="9.1796875" hidden="1"/>
  </cols>
  <sheetData>
    <row r="1" spans="1:9" ht="49.9" customHeight="1" x14ac:dyDescent="0.35">
      <c r="A1" s="8"/>
      <c r="B1" s="541" t="s">
        <v>301</v>
      </c>
      <c r="C1" s="8"/>
      <c r="D1" t="s">
        <v>271</v>
      </c>
      <c r="E1" t="s">
        <v>271</v>
      </c>
      <c r="F1" t="s">
        <v>271</v>
      </c>
      <c r="G1" t="s">
        <v>271</v>
      </c>
      <c r="H1" t="s">
        <v>271</v>
      </c>
      <c r="I1" t="s">
        <v>271</v>
      </c>
    </row>
    <row r="2" spans="1:9" x14ac:dyDescent="0.35">
      <c r="A2" s="8"/>
      <c r="B2" s="9" t="s">
        <v>278</v>
      </c>
      <c r="C2" s="8"/>
    </row>
    <row r="3" spans="1:9" x14ac:dyDescent="0.35">
      <c r="A3" s="8"/>
      <c r="B3" s="9" t="s">
        <v>238</v>
      </c>
      <c r="C3" s="8"/>
    </row>
    <row r="4" spans="1:9" x14ac:dyDescent="0.35">
      <c r="A4" s="8"/>
      <c r="B4" s="432" t="s">
        <v>239</v>
      </c>
      <c r="C4" s="8"/>
    </row>
    <row r="5" spans="1:9" ht="34.5" customHeight="1" x14ac:dyDescent="0.35">
      <c r="A5" s="8"/>
      <c r="B5" s="423" t="s">
        <v>291</v>
      </c>
      <c r="C5" s="8"/>
    </row>
    <row r="6" spans="1:9" ht="29" x14ac:dyDescent="0.35">
      <c r="A6" s="8"/>
      <c r="B6" s="423" t="s">
        <v>279</v>
      </c>
      <c r="C6" s="8"/>
    </row>
    <row r="7" spans="1:9" ht="32.25" customHeight="1" x14ac:dyDescent="0.35">
      <c r="A7" s="8"/>
      <c r="B7" s="423" t="s">
        <v>240</v>
      </c>
      <c r="C7" s="8"/>
    </row>
    <row r="8" spans="1:9" ht="29" x14ac:dyDescent="0.35">
      <c r="A8" s="8"/>
      <c r="B8" s="423" t="s">
        <v>262</v>
      </c>
      <c r="C8" s="8"/>
    </row>
    <row r="9" spans="1:9" ht="15" customHeight="1" x14ac:dyDescent="0.35">
      <c r="A9" s="8"/>
      <c r="B9" s="423"/>
      <c r="C9" s="8"/>
    </row>
    <row r="10" spans="1:9" x14ac:dyDescent="0.35">
      <c r="A10" s="8"/>
      <c r="B10" s="431" t="s">
        <v>237</v>
      </c>
      <c r="C10" s="8"/>
    </row>
    <row r="11" spans="1:9" x14ac:dyDescent="0.35">
      <c r="A11" s="8"/>
      <c r="B11" s="426" t="s">
        <v>243</v>
      </c>
      <c r="C11" s="8"/>
    </row>
    <row r="12" spans="1:9" x14ac:dyDescent="0.35">
      <c r="A12" s="8"/>
      <c r="B12" s="426" t="s">
        <v>242</v>
      </c>
      <c r="C12" s="8"/>
    </row>
    <row r="13" spans="1:9" ht="29" x14ac:dyDescent="0.35">
      <c r="A13" s="8"/>
      <c r="B13" s="426" t="s">
        <v>272</v>
      </c>
      <c r="C13" s="8"/>
    </row>
    <row r="14" spans="1:9" x14ac:dyDescent="0.35">
      <c r="A14" s="8"/>
      <c r="B14" s="428"/>
      <c r="C14" s="8"/>
    </row>
    <row r="15" spans="1:9" x14ac:dyDescent="0.35">
      <c r="A15" s="8"/>
      <c r="B15" s="428" t="s">
        <v>241</v>
      </c>
      <c r="C15" s="8"/>
    </row>
    <row r="16" spans="1:9" x14ac:dyDescent="0.35">
      <c r="A16" s="8"/>
      <c r="B16" s="426" t="s">
        <v>273</v>
      </c>
      <c r="C16" s="8"/>
    </row>
    <row r="17" spans="1:3" ht="72.5" x14ac:dyDescent="0.35">
      <c r="A17" s="8"/>
      <c r="B17" s="426" t="s">
        <v>261</v>
      </c>
      <c r="C17" s="8"/>
    </row>
    <row r="18" spans="1:3" x14ac:dyDescent="0.35">
      <c r="A18" s="8"/>
      <c r="B18" s="427" t="s">
        <v>258</v>
      </c>
      <c r="C18" s="8"/>
    </row>
    <row r="19" spans="1:3" ht="29" x14ac:dyDescent="0.35">
      <c r="A19" s="8"/>
      <c r="B19" s="426" t="s">
        <v>259</v>
      </c>
      <c r="C19" s="8"/>
    </row>
    <row r="20" spans="1:3" x14ac:dyDescent="0.35">
      <c r="A20" s="8"/>
      <c r="B20" s="427" t="s">
        <v>274</v>
      </c>
      <c r="C20" s="8"/>
    </row>
    <row r="21" spans="1:3" x14ac:dyDescent="0.35">
      <c r="A21" s="8"/>
      <c r="B21" s="426" t="s">
        <v>275</v>
      </c>
      <c r="C21" s="8"/>
    </row>
    <row r="22" spans="1:3" x14ac:dyDescent="0.35">
      <c r="A22" s="8"/>
      <c r="B22" s="427" t="s">
        <v>206</v>
      </c>
      <c r="C22" s="8"/>
    </row>
    <row r="23" spans="1:3" ht="29" x14ac:dyDescent="0.35">
      <c r="A23" s="8"/>
      <c r="B23" s="426" t="s">
        <v>260</v>
      </c>
      <c r="C23" s="8"/>
    </row>
    <row r="24" spans="1:3" x14ac:dyDescent="0.35">
      <c r="A24" s="8"/>
      <c r="B24" s="427" t="s">
        <v>263</v>
      </c>
      <c r="C24" s="8"/>
    </row>
    <row r="25" spans="1:3" ht="43.5" x14ac:dyDescent="0.35">
      <c r="A25" s="8"/>
      <c r="B25" s="426" t="s">
        <v>276</v>
      </c>
      <c r="C25" s="8"/>
    </row>
    <row r="26" spans="1:3" x14ac:dyDescent="0.35">
      <c r="A26" s="8"/>
      <c r="B26" s="427" t="s">
        <v>264</v>
      </c>
      <c r="C26" s="8"/>
    </row>
    <row r="27" spans="1:3" ht="29" x14ac:dyDescent="0.35">
      <c r="A27" s="8"/>
      <c r="B27" s="426" t="s">
        <v>277</v>
      </c>
      <c r="C27" s="8"/>
    </row>
    <row r="28" spans="1:3" x14ac:dyDescent="0.35">
      <c r="A28" s="8"/>
      <c r="B28" s="426"/>
      <c r="C28" s="8"/>
    </row>
    <row r="29" spans="1:3" x14ac:dyDescent="0.35">
      <c r="A29" s="8"/>
      <c r="B29" s="431" t="s">
        <v>244</v>
      </c>
      <c r="C29" s="8"/>
    </row>
    <row r="30" spans="1:3" x14ac:dyDescent="0.35">
      <c r="A30" s="8"/>
      <c r="B30" s="423" t="s">
        <v>290</v>
      </c>
      <c r="C30" s="8"/>
    </row>
    <row r="31" spans="1:3" x14ac:dyDescent="0.35">
      <c r="A31" s="8"/>
      <c r="B31" s="427" t="s">
        <v>287</v>
      </c>
      <c r="C31" s="8"/>
    </row>
    <row r="32" spans="1:3" ht="174" x14ac:dyDescent="0.35">
      <c r="A32" s="8"/>
      <c r="B32" s="433" t="s">
        <v>292</v>
      </c>
      <c r="C32" s="8"/>
    </row>
    <row r="33" spans="1:3" x14ac:dyDescent="0.35">
      <c r="A33" s="8"/>
      <c r="B33" s="427" t="s">
        <v>245</v>
      </c>
      <c r="C33" s="8"/>
    </row>
    <row r="34" spans="1:3" ht="29" x14ac:dyDescent="0.35">
      <c r="A34" s="8"/>
      <c r="B34" s="423" t="s">
        <v>288</v>
      </c>
      <c r="C34" s="8"/>
    </row>
    <row r="35" spans="1:3" x14ac:dyDescent="0.35">
      <c r="A35" s="8"/>
      <c r="B35" s="427" t="s">
        <v>246</v>
      </c>
      <c r="C35" s="8"/>
    </row>
    <row r="36" spans="1:3" ht="29" x14ac:dyDescent="0.35">
      <c r="A36" s="8"/>
      <c r="B36" s="423" t="s">
        <v>289</v>
      </c>
      <c r="C36" s="8"/>
    </row>
    <row r="37" spans="1:3" x14ac:dyDescent="0.35">
      <c r="A37" s="8"/>
      <c r="B37" s="427" t="s">
        <v>247</v>
      </c>
      <c r="C37" s="8"/>
    </row>
    <row r="38" spans="1:3" ht="43.5" x14ac:dyDescent="0.35">
      <c r="A38" s="8"/>
      <c r="B38" s="423" t="s">
        <v>248</v>
      </c>
      <c r="C38" s="8"/>
    </row>
    <row r="39" spans="1:3" x14ac:dyDescent="0.35">
      <c r="A39" s="8"/>
      <c r="B39" s="427" t="s">
        <v>249</v>
      </c>
      <c r="C39" s="8"/>
    </row>
    <row r="40" spans="1:3" ht="34.5" customHeight="1" x14ac:dyDescent="0.35">
      <c r="A40" s="8"/>
      <c r="B40" s="423" t="s">
        <v>253</v>
      </c>
      <c r="C40" s="8"/>
    </row>
    <row r="41" spans="1:3" x14ac:dyDescent="0.35">
      <c r="A41" s="8"/>
      <c r="B41" s="423"/>
      <c r="C41" s="8"/>
    </row>
    <row r="42" spans="1:3" x14ac:dyDescent="0.35">
      <c r="A42" s="8"/>
      <c r="B42" s="425" t="s">
        <v>254</v>
      </c>
      <c r="C42" s="8"/>
    </row>
    <row r="43" spans="1:3" ht="29" x14ac:dyDescent="0.35">
      <c r="A43" s="8"/>
      <c r="B43" s="423" t="s">
        <v>255</v>
      </c>
      <c r="C43" s="8"/>
    </row>
    <row r="44" spans="1:3" x14ac:dyDescent="0.35">
      <c r="A44" s="8"/>
      <c r="B44" s="427" t="s">
        <v>256</v>
      </c>
      <c r="C44" s="8"/>
    </row>
    <row r="45" spans="1:3" ht="43.5" x14ac:dyDescent="0.35">
      <c r="A45" s="8"/>
      <c r="B45" s="423" t="s">
        <v>265</v>
      </c>
      <c r="C45" s="8"/>
    </row>
    <row r="46" spans="1:3" x14ac:dyDescent="0.35">
      <c r="A46" s="8"/>
      <c r="B46" s="427" t="s">
        <v>257</v>
      </c>
      <c r="C46" s="8"/>
    </row>
    <row r="47" spans="1:3" ht="14.5" customHeight="1" x14ac:dyDescent="0.35">
      <c r="A47" s="8"/>
      <c r="B47" s="423" t="s">
        <v>294</v>
      </c>
      <c r="C47" s="8"/>
    </row>
    <row r="48" spans="1:3" x14ac:dyDescent="0.35">
      <c r="A48" s="8"/>
      <c r="B48" s="427" t="s">
        <v>200</v>
      </c>
      <c r="C48" s="8"/>
    </row>
    <row r="49" spans="1:8" x14ac:dyDescent="0.35">
      <c r="A49" s="8"/>
      <c r="B49" s="423" t="s">
        <v>266</v>
      </c>
      <c r="C49" s="8"/>
    </row>
    <row r="50" spans="1:8" x14ac:dyDescent="0.35">
      <c r="A50" s="8"/>
      <c r="B50" s="427" t="s">
        <v>202</v>
      </c>
      <c r="C50" s="8"/>
    </row>
    <row r="51" spans="1:8" x14ac:dyDescent="0.35">
      <c r="A51" s="8"/>
      <c r="B51" s="423" t="s">
        <v>267</v>
      </c>
      <c r="C51" s="8"/>
    </row>
    <row r="52" spans="1:8" x14ac:dyDescent="0.35">
      <c r="A52" s="8"/>
      <c r="B52" s="427" t="s">
        <v>268</v>
      </c>
      <c r="C52" s="8"/>
    </row>
    <row r="53" spans="1:8" x14ac:dyDescent="0.35">
      <c r="A53" s="8"/>
      <c r="B53" s="423" t="s">
        <v>269</v>
      </c>
      <c r="C53" s="8"/>
    </row>
    <row r="54" spans="1:8" x14ac:dyDescent="0.35">
      <c r="A54" s="8"/>
      <c r="B54" s="424"/>
      <c r="C54" s="8"/>
    </row>
    <row r="55" spans="1:8" x14ac:dyDescent="0.35">
      <c r="A55" s="8"/>
      <c r="B55" s="10"/>
      <c r="C55" s="8"/>
    </row>
    <row r="57" spans="1:8" hidden="1" x14ac:dyDescent="0.35">
      <c r="B57" t="s">
        <v>270</v>
      </c>
      <c r="D57" s="1" t="s">
        <v>146</v>
      </c>
    </row>
    <row r="58" spans="1:8" hidden="1" x14ac:dyDescent="0.35">
      <c r="B58" t="s">
        <v>270</v>
      </c>
      <c r="D58" s="2" t="s">
        <v>0</v>
      </c>
      <c r="E58" s="3" t="s">
        <v>76</v>
      </c>
    </row>
    <row r="59" spans="1:8" hidden="1" x14ac:dyDescent="0.35">
      <c r="B59" t="s">
        <v>270</v>
      </c>
      <c r="D59" s="4" t="s">
        <v>1</v>
      </c>
      <c r="E59" s="5" t="s">
        <v>77</v>
      </c>
    </row>
    <row r="60" spans="1:8" hidden="1" x14ac:dyDescent="0.35">
      <c r="B60" t="s">
        <v>270</v>
      </c>
      <c r="D60" s="7" t="s">
        <v>2</v>
      </c>
      <c r="E60" s="6" t="s">
        <v>78</v>
      </c>
    </row>
    <row r="61" spans="1:8" hidden="1" x14ac:dyDescent="0.35">
      <c r="B61" t="s">
        <v>270</v>
      </c>
    </row>
    <row r="62" spans="1:8" hidden="1" x14ac:dyDescent="0.35">
      <c r="B62" t="s">
        <v>270</v>
      </c>
      <c r="D62" s="1" t="s">
        <v>167</v>
      </c>
    </row>
    <row r="63" spans="1:8" hidden="1" x14ac:dyDescent="0.35">
      <c r="B63" t="s">
        <v>270</v>
      </c>
      <c r="D63" s="5"/>
      <c r="E63" s="11" t="s">
        <v>163</v>
      </c>
      <c r="F63" s="11" t="s">
        <v>164</v>
      </c>
      <c r="G63" s="11" t="s">
        <v>165</v>
      </c>
      <c r="H63" s="11" t="s">
        <v>166</v>
      </c>
    </row>
    <row r="64" spans="1:8" hidden="1" x14ac:dyDescent="0.35">
      <c r="B64" t="s">
        <v>270</v>
      </c>
      <c r="D64" s="178">
        <v>0</v>
      </c>
      <c r="E64" s="179">
        <v>1.7319117875675178</v>
      </c>
      <c r="F64" s="179">
        <v>1.5466080562498477</v>
      </c>
      <c r="G64" s="179">
        <v>1.6916308346673119</v>
      </c>
      <c r="H64" s="179">
        <v>1.2061631025043056</v>
      </c>
    </row>
    <row r="65" spans="2:8" hidden="1" x14ac:dyDescent="0.35">
      <c r="B65" t="s">
        <v>270</v>
      </c>
      <c r="D65" s="174">
        <v>0.10000000000000014</v>
      </c>
      <c r="E65" s="176">
        <v>2.0256328686765794</v>
      </c>
      <c r="F65" s="176">
        <v>1.9032264199517264</v>
      </c>
      <c r="G65" s="176">
        <v>1.9627616569332775</v>
      </c>
      <c r="H65" s="176">
        <v>1.5457251698873469</v>
      </c>
    </row>
    <row r="66" spans="2:8" hidden="1" x14ac:dyDescent="0.35">
      <c r="B66" t="s">
        <v>270</v>
      </c>
      <c r="D66" s="174">
        <v>0.20000000000000015</v>
      </c>
      <c r="E66" s="176">
        <v>2.1536087082077664</v>
      </c>
      <c r="F66" s="176">
        <v>2.0469527121977498</v>
      </c>
      <c r="G66" s="176">
        <v>2.060526795073002</v>
      </c>
      <c r="H66" s="176">
        <v>1.6139473648451941</v>
      </c>
    </row>
    <row r="67" spans="2:8" hidden="1" x14ac:dyDescent="0.35">
      <c r="B67" t="s">
        <v>270</v>
      </c>
      <c r="D67" s="174">
        <v>0.30000000000000016</v>
      </c>
      <c r="E67" s="176">
        <v>2.2645252078219</v>
      </c>
      <c r="F67" s="176">
        <v>2.1465312171238362</v>
      </c>
      <c r="G67" s="176">
        <v>2.1512090201337188</v>
      </c>
      <c r="H67" s="176">
        <v>1.6905770515338387</v>
      </c>
    </row>
    <row r="68" spans="2:8" hidden="1" x14ac:dyDescent="0.35">
      <c r="B68" t="s">
        <v>270</v>
      </c>
      <c r="D68" s="174">
        <v>0.40000000000000013</v>
      </c>
      <c r="E68" s="176">
        <v>2.3558086728073921</v>
      </c>
      <c r="F68" s="176">
        <v>2.2556648974781108</v>
      </c>
      <c r="G68" s="176">
        <v>2.2322187026021254</v>
      </c>
      <c r="H68" s="176">
        <v>1.764496590481919</v>
      </c>
    </row>
    <row r="69" spans="2:8" hidden="1" x14ac:dyDescent="0.35">
      <c r="B69" t="s">
        <v>270</v>
      </c>
      <c r="D69" s="174">
        <v>0.50000000000000011</v>
      </c>
      <c r="E69" s="176">
        <v>2.49226289859247</v>
      </c>
      <c r="F69" s="176">
        <v>2.3319119806934374</v>
      </c>
      <c r="G69" s="176">
        <v>2.3971042904412045</v>
      </c>
      <c r="H69" s="176">
        <v>1.8666025524185872</v>
      </c>
    </row>
    <row r="70" spans="2:8" hidden="1" x14ac:dyDescent="0.35">
      <c r="B70" t="s">
        <v>270</v>
      </c>
      <c r="D70" s="174">
        <v>0.60000000000000009</v>
      </c>
      <c r="E70" s="176">
        <v>2.6224603812799141</v>
      </c>
      <c r="F70" s="176">
        <v>2.4296139794799738</v>
      </c>
      <c r="G70" s="176">
        <v>2.5298575553703135</v>
      </c>
      <c r="H70" s="176">
        <v>1.9546179413648244</v>
      </c>
    </row>
    <row r="71" spans="2:8" hidden="1" x14ac:dyDescent="0.35">
      <c r="B71" t="s">
        <v>270</v>
      </c>
      <c r="D71" s="174">
        <v>0.70000000000000007</v>
      </c>
      <c r="E71" s="176">
        <v>2.749234601340163</v>
      </c>
      <c r="F71" s="176">
        <v>2.5427739766356749</v>
      </c>
      <c r="G71" s="176">
        <v>2.6292142564295746</v>
      </c>
      <c r="H71" s="176">
        <v>2.0472023583378909</v>
      </c>
    </row>
    <row r="72" spans="2:8" hidden="1" x14ac:dyDescent="0.35">
      <c r="B72" t="s">
        <v>270</v>
      </c>
      <c r="D72" s="174">
        <v>0.8</v>
      </c>
      <c r="E72" s="176">
        <v>2.8774904522386064</v>
      </c>
      <c r="F72" s="176">
        <v>2.7005062157486726</v>
      </c>
      <c r="G72" s="176">
        <v>2.7963278530512423</v>
      </c>
      <c r="H72" s="176">
        <v>2.1683696391694482</v>
      </c>
    </row>
    <row r="73" spans="2:8" hidden="1" x14ac:dyDescent="0.35">
      <c r="B73" t="s">
        <v>270</v>
      </c>
      <c r="D73" s="174">
        <v>0.9</v>
      </c>
      <c r="E73" s="176">
        <v>3.2118163824623629</v>
      </c>
      <c r="F73" s="176">
        <v>3.008496188553837</v>
      </c>
      <c r="G73" s="176">
        <v>3.0261344550115563</v>
      </c>
      <c r="H73" s="176">
        <v>2.4074222412483546</v>
      </c>
    </row>
    <row r="74" spans="2:8" hidden="1" x14ac:dyDescent="0.35">
      <c r="B74" t="s">
        <v>270</v>
      </c>
      <c r="D74" s="175">
        <v>1</v>
      </c>
      <c r="E74" s="177">
        <v>4.0123429361979204</v>
      </c>
      <c r="F74" s="177">
        <v>3.5633327256153149</v>
      </c>
      <c r="G74" s="177">
        <v>3.6391011273666773</v>
      </c>
      <c r="H74" s="177">
        <v>2.7677377172983277</v>
      </c>
    </row>
    <row r="75" spans="2:8" hidden="1" x14ac:dyDescent="0.35">
      <c r="B75" t="s">
        <v>270</v>
      </c>
    </row>
    <row r="76" spans="2:8" hidden="1" x14ac:dyDescent="0.35">
      <c r="B76" t="s">
        <v>270</v>
      </c>
    </row>
    <row r="77" spans="2:8" hidden="1" x14ac:dyDescent="0.35">
      <c r="B77" t="s">
        <v>270</v>
      </c>
      <c r="D77" s="118" t="s">
        <v>41</v>
      </c>
      <c r="E77" s="118" t="s">
        <v>171</v>
      </c>
      <c r="F77" s="118" t="s">
        <v>172</v>
      </c>
    </row>
    <row r="78" spans="2:8" hidden="1" x14ac:dyDescent="0.35">
      <c r="B78" t="s">
        <v>270</v>
      </c>
      <c r="D78" s="182" t="s">
        <v>55</v>
      </c>
      <c r="E78" s="116" t="str">
        <f>'General Info'!H11</f>
        <v>Mature Breeders</v>
      </c>
      <c r="F78" s="116" t="s">
        <v>166</v>
      </c>
    </row>
    <row r="79" spans="2:8" hidden="1" x14ac:dyDescent="0.35">
      <c r="B79" t="s">
        <v>270</v>
      </c>
      <c r="D79" s="183" t="s">
        <v>53</v>
      </c>
      <c r="E79" s="116" t="str">
        <f>'General Info'!H12</f>
        <v>First Calf Heifers</v>
      </c>
      <c r="F79" s="116" t="s">
        <v>166</v>
      </c>
    </row>
    <row r="80" spans="2:8" hidden="1" x14ac:dyDescent="0.35">
      <c r="B80" t="s">
        <v>270</v>
      </c>
      <c r="D80" s="183" t="s">
        <v>51</v>
      </c>
      <c r="E80" s="116" t="str">
        <f>'General Info'!H13</f>
        <v>Joiner Heifers</v>
      </c>
      <c r="F80" s="116" t="s">
        <v>164</v>
      </c>
    </row>
    <row r="81" spans="2:6" hidden="1" x14ac:dyDescent="0.35">
      <c r="B81" t="s">
        <v>270</v>
      </c>
      <c r="D81" s="183" t="s">
        <v>49</v>
      </c>
      <c r="E81" s="116" t="str">
        <f>'General Info'!H14</f>
        <v>Replacement Heifers</v>
      </c>
      <c r="F81" s="116" t="s">
        <v>164</v>
      </c>
    </row>
    <row r="82" spans="2:6" hidden="1" x14ac:dyDescent="0.35">
      <c r="B82" t="s">
        <v>270</v>
      </c>
      <c r="D82" s="183" t="s">
        <v>47</v>
      </c>
      <c r="E82" s="116" t="str">
        <f>'General Info'!H15</f>
        <v>Weaner Heifers</v>
      </c>
      <c r="F82" s="116" t="s">
        <v>164</v>
      </c>
    </row>
    <row r="83" spans="2:6" hidden="1" x14ac:dyDescent="0.35">
      <c r="B83" t="s">
        <v>270</v>
      </c>
      <c r="D83" s="183" t="s">
        <v>7</v>
      </c>
      <c r="E83" s="116" t="str">
        <f>'General Info'!H17</f>
        <v>Bullocks</v>
      </c>
      <c r="F83" s="116" t="s">
        <v>165</v>
      </c>
    </row>
    <row r="84" spans="2:6" hidden="1" x14ac:dyDescent="0.35">
      <c r="B84" t="s">
        <v>270</v>
      </c>
      <c r="D84" s="183" t="s">
        <v>6</v>
      </c>
      <c r="E84" s="116" t="str">
        <f>'General Info'!H18</f>
        <v>Grown Steers</v>
      </c>
      <c r="F84" s="116" t="s">
        <v>165</v>
      </c>
    </row>
    <row r="85" spans="2:6" hidden="1" x14ac:dyDescent="0.35">
      <c r="B85" t="s">
        <v>270</v>
      </c>
      <c r="D85" s="183" t="s">
        <v>5</v>
      </c>
      <c r="E85" s="116" t="str">
        <f>'General Info'!H19</f>
        <v>Young Steers</v>
      </c>
      <c r="F85" s="116" t="s">
        <v>163</v>
      </c>
    </row>
    <row r="86" spans="2:6" hidden="1" x14ac:dyDescent="0.35">
      <c r="B86" t="s">
        <v>270</v>
      </c>
      <c r="D86" s="184" t="s">
        <v>4</v>
      </c>
      <c r="E86" s="117" t="str">
        <f>'General Info'!H20</f>
        <v>Weaner Steers</v>
      </c>
      <c r="F86" s="117" t="s">
        <v>163</v>
      </c>
    </row>
    <row r="87" spans="2:6" hidden="1" x14ac:dyDescent="0.35">
      <c r="B87" t="s">
        <v>270</v>
      </c>
    </row>
  </sheetData>
  <sheetProtection algorithmName="SHA-512" hashValue="Iq5w+EleTWrC2KFdHv4/+1M72Vfc9P2jMBTf0XA0oJUJcNepG8Ivd+zNy+f+NlnQQrhRvSI7KnKaFfPjSVAdKw==" saltValue="5MmcRqQ0Sfo4rpjyJaJKWQ==" spinCount="100000" sheet="1" objects="1" scenarios="1"/>
  <phoneticPr fontId="17" type="noConversion"/>
  <hyperlinks>
    <hyperlink ref="B15" location="'General Info'!E3" display="General Info Tab" xr:uid="{00000000-0004-0000-0000-000000000000}"/>
    <hyperlink ref="B31" location="HerdFlow!D6" display="First six months of HerdFlow" xr:uid="{00000000-0004-0000-0000-000001000000}"/>
    <hyperlink ref="B33" location="HerdFlow!B48" display="Sales Information" xr:uid="{00000000-0004-0000-0000-000002000000}"/>
    <hyperlink ref="B35" location="HerdFlow!B102" display="Purchase Information" xr:uid="{00000000-0004-0000-0000-000003000000}"/>
    <hyperlink ref="B37" location="HerdFlow!O36" display="Reproductive Rate Information" xr:uid="{00000000-0004-0000-0000-000004000000}"/>
    <hyperlink ref="B39" location="HerdFlow!O1" display="Error Check" xr:uid="{00000000-0004-0000-0000-000005000000}"/>
    <hyperlink ref="B44" location="Summary!B2" display="Annual Herdflow Summary" xr:uid="{00000000-0004-0000-0000-000006000000}"/>
    <hyperlink ref="B18" location="'General Info'!C9" display="Livestock classes" xr:uid="{00000000-0004-0000-0000-000007000000}"/>
    <hyperlink ref="B20" location="'General Info'!I9" display="Tag Colors" xr:uid="{00000000-0004-0000-0000-000008000000}"/>
    <hyperlink ref="B22" location="'General Info'!J20" display="Livestock Inventory Values" xr:uid="{00000000-0004-0000-0000-000009000000}"/>
    <hyperlink ref="B24" location="'General Info'!C26" display="Animal Equivalent (AE) Ratings" xr:uid="{00000000-0004-0000-0000-00000A000000}"/>
    <hyperlink ref="B26" location="'General Info'!C43" display="Summary Animal Information" xr:uid="{00000000-0004-0000-0000-00000B000000}"/>
    <hyperlink ref="B46" location="Summary!B22" display="Key Measures" xr:uid="{00000000-0004-0000-0000-00000C000000}"/>
    <hyperlink ref="B48" location="Summary!B30" display="Quarterly AE" xr:uid="{00000000-0004-0000-0000-00000D000000}"/>
    <hyperlink ref="B50" location="Summary!B36" display="Herd Gross Profit and Kilograms Produced Calculations" xr:uid="{00000000-0004-0000-0000-00000E000000}"/>
    <hyperlink ref="B52" location="Summary!B36" display="Herd Gross Profit and Kilograms Produced Calculations" xr:uid="{00000000-0004-0000-0000-00000F000000}"/>
  </hyperlinks>
  <pageMargins left="0.70866141732283472" right="0.70866141732283472" top="0.74803149606299213" bottom="0.74803149606299213" header="0.31496062992125984" footer="0.31496062992125984"/>
  <pageSetup paperSize="9" scale="63" fitToHeight="2" orientation="portrait" horizontalDpi="0" verticalDpi="0"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zoomScaleNormal="100" workbookViewId="0">
      <selection activeCell="E7" sqref="E7"/>
    </sheetView>
  </sheetViews>
  <sheetFormatPr defaultColWidth="0" defaultRowHeight="15" customHeight="1" zeroHeight="1" x14ac:dyDescent="0.35"/>
  <cols>
    <col min="1" max="1" width="1.7265625" customWidth="1"/>
    <col min="2" max="2" width="8.26953125" hidden="1" customWidth="1"/>
    <col min="3" max="3" width="14.7265625" customWidth="1"/>
    <col min="4" max="4" width="12.453125" bestFit="1" customWidth="1"/>
    <col min="5" max="5" width="9.26953125" customWidth="1"/>
    <col min="6" max="6" width="11.453125" customWidth="1"/>
    <col min="7" max="7" width="12" customWidth="1"/>
    <col min="8" max="8" width="20.1796875" customWidth="1"/>
    <col min="9" max="9" width="11.54296875" customWidth="1"/>
    <col min="10" max="10" width="19.81640625" customWidth="1"/>
    <col min="11" max="15" width="8.81640625" customWidth="1"/>
    <col min="16" max="16" width="1.7265625" customWidth="1"/>
    <col min="17" max="16384" width="8.81640625" hidden="1"/>
  </cols>
  <sheetData>
    <row r="1" spans="1:20" ht="14.5" x14ac:dyDescent="0.35">
      <c r="A1" s="17"/>
      <c r="B1" s="17"/>
      <c r="C1" s="17"/>
      <c r="D1" s="17"/>
      <c r="E1" s="17"/>
      <c r="F1" s="17"/>
      <c r="G1" s="17"/>
      <c r="H1" s="17"/>
      <c r="I1" s="17"/>
      <c r="J1" s="17"/>
      <c r="K1" s="17"/>
      <c r="L1" s="17"/>
      <c r="M1" s="17"/>
      <c r="N1" s="17"/>
      <c r="O1" s="17"/>
      <c r="P1" s="17"/>
    </row>
    <row r="2" spans="1:20" ht="18.5" x14ac:dyDescent="0.45">
      <c r="A2" s="17"/>
      <c r="B2" s="17"/>
      <c r="C2" s="268" t="str">
        <f>'Start here!'!B1</f>
        <v>Bush AgriBusiness Herdflow (Prototype Public Version v21.13, FY with annual reconciliation)</v>
      </c>
      <c r="D2" s="17"/>
      <c r="E2" s="17"/>
      <c r="F2" s="17"/>
      <c r="G2" s="17"/>
      <c r="H2" s="17"/>
      <c r="I2" s="17"/>
      <c r="J2" s="17"/>
      <c r="K2" s="17"/>
      <c r="L2" s="17"/>
      <c r="M2" s="17"/>
      <c r="N2" s="17"/>
      <c r="O2" s="17"/>
      <c r="P2" s="17"/>
    </row>
    <row r="3" spans="1:20" ht="15.5" x14ac:dyDescent="0.35">
      <c r="A3" s="17"/>
      <c r="B3" s="17"/>
      <c r="C3" s="17"/>
      <c r="D3" s="269" t="s">
        <v>71</v>
      </c>
      <c r="E3" s="548" t="s">
        <v>72</v>
      </c>
      <c r="F3" s="549"/>
      <c r="G3" s="272"/>
      <c r="H3" s="272"/>
      <c r="I3" s="272"/>
      <c r="J3" s="272"/>
      <c r="K3" s="272"/>
      <c r="L3" s="272"/>
      <c r="M3" s="272"/>
      <c r="N3" s="272"/>
      <c r="O3" s="272"/>
      <c r="P3" s="17"/>
    </row>
    <row r="4" spans="1:20" ht="15.5" x14ac:dyDescent="0.35">
      <c r="A4" s="17"/>
      <c r="B4" s="17"/>
      <c r="C4" s="17"/>
      <c r="D4" s="269" t="s">
        <v>185</v>
      </c>
      <c r="E4" s="283">
        <v>2021</v>
      </c>
      <c r="F4" s="17"/>
      <c r="G4" s="272"/>
      <c r="H4" s="272"/>
      <c r="I4" s="272"/>
      <c r="J4" s="272"/>
      <c r="K4" s="272"/>
      <c r="L4" s="272"/>
      <c r="M4" s="272"/>
      <c r="N4" s="272"/>
      <c r="O4" s="272"/>
      <c r="P4" s="17"/>
    </row>
    <row r="5" spans="1:20" ht="14.5" x14ac:dyDescent="0.35">
      <c r="A5" s="17"/>
      <c r="B5" s="17"/>
      <c r="C5" s="17"/>
      <c r="D5" s="264" t="s">
        <v>36</v>
      </c>
      <c r="E5" s="284" t="s">
        <v>1</v>
      </c>
      <c r="F5" s="19" t="str">
        <f>VLOOKUP(E5,'Start here!'!$D$58:$E$60,2,FALSE)</f>
        <v>110-150kg/yr</v>
      </c>
      <c r="G5" s="272"/>
      <c r="H5" s="272"/>
      <c r="I5" s="272"/>
      <c r="J5" s="272"/>
      <c r="K5" s="272"/>
      <c r="L5" s="272"/>
      <c r="M5" s="17"/>
      <c r="N5" s="272"/>
      <c r="O5" s="272"/>
      <c r="P5" s="17"/>
    </row>
    <row r="6" spans="1:20" ht="14.5" x14ac:dyDescent="0.35">
      <c r="A6" s="17"/>
      <c r="B6" s="17"/>
      <c r="C6" s="19"/>
      <c r="D6" s="264" t="s">
        <v>37</v>
      </c>
      <c r="E6" s="285">
        <v>1</v>
      </c>
      <c r="F6" s="17"/>
      <c r="G6" s="17"/>
      <c r="H6" s="272"/>
      <c r="I6" s="272"/>
      <c r="J6" s="272"/>
      <c r="K6" s="17"/>
      <c r="L6" s="17"/>
      <c r="M6" s="17"/>
      <c r="N6" s="272"/>
      <c r="O6" s="272"/>
      <c r="P6" s="17"/>
    </row>
    <row r="7" spans="1:20" ht="14.5" x14ac:dyDescent="0.35">
      <c r="A7" s="17"/>
      <c r="B7" s="17"/>
      <c r="C7" s="17"/>
      <c r="D7" s="264" t="s">
        <v>38</v>
      </c>
      <c r="E7" s="286">
        <v>27</v>
      </c>
      <c r="F7" s="17"/>
      <c r="G7" s="17"/>
      <c r="H7" s="272"/>
      <c r="I7" s="272"/>
      <c r="J7" s="272"/>
      <c r="K7" s="17"/>
      <c r="L7" s="17"/>
      <c r="M7" s="17"/>
      <c r="N7" s="272"/>
      <c r="O7" s="272"/>
      <c r="P7" s="17"/>
      <c r="R7" s="17"/>
      <c r="S7" s="17"/>
      <c r="T7" s="17"/>
    </row>
    <row r="8" spans="1:20" ht="14.5" x14ac:dyDescent="0.35">
      <c r="A8" s="17"/>
      <c r="B8" s="270">
        <f>E6+10</f>
        <v>11</v>
      </c>
      <c r="C8" s="17"/>
      <c r="D8" s="264"/>
      <c r="E8" s="273" t="str">
        <f>IF(E7=15,IF(E5="High","","Yearling mating (15mths) should only be chosen in High productivity"),"")</f>
        <v/>
      </c>
      <c r="F8" s="17"/>
      <c r="G8" s="17"/>
      <c r="H8" s="272"/>
      <c r="I8" s="272"/>
      <c r="J8" s="272"/>
      <c r="K8" s="17"/>
      <c r="L8" s="17"/>
      <c r="M8" s="17"/>
      <c r="N8" s="17"/>
      <c r="O8" s="17"/>
      <c r="P8" s="17"/>
      <c r="R8" s="20" t="s">
        <v>75</v>
      </c>
      <c r="S8" s="17"/>
      <c r="T8" s="17"/>
    </row>
    <row r="9" spans="1:20" ht="14.5" x14ac:dyDescent="0.35">
      <c r="A9" s="17"/>
      <c r="B9" s="17"/>
      <c r="C9" s="271" t="s">
        <v>40</v>
      </c>
      <c r="D9" s="17"/>
      <c r="E9" s="17"/>
      <c r="F9" s="17"/>
      <c r="G9" s="17"/>
      <c r="H9" s="17"/>
      <c r="I9" s="271" t="s">
        <v>236</v>
      </c>
      <c r="J9" s="17"/>
      <c r="K9" s="17"/>
      <c r="L9" s="17"/>
      <c r="M9" s="17"/>
      <c r="N9" s="17"/>
      <c r="O9" s="17"/>
      <c r="P9" s="17"/>
      <c r="R9" s="21" t="s">
        <v>0</v>
      </c>
      <c r="S9" s="22">
        <v>1</v>
      </c>
      <c r="T9" s="17"/>
    </row>
    <row r="10" spans="1:20" ht="14.5" x14ac:dyDescent="0.35">
      <c r="A10" s="17"/>
      <c r="B10" s="17"/>
      <c r="C10" s="292" t="s">
        <v>41</v>
      </c>
      <c r="D10" s="292" t="s">
        <v>42</v>
      </c>
      <c r="E10" s="293"/>
      <c r="F10" s="294" t="s">
        <v>43</v>
      </c>
      <c r="G10" s="295"/>
      <c r="H10" s="277" t="s">
        <v>235</v>
      </c>
      <c r="I10" s="296" t="s">
        <v>44</v>
      </c>
      <c r="J10" s="297" t="s">
        <v>45</v>
      </c>
      <c r="K10" s="297" t="s">
        <v>46</v>
      </c>
      <c r="L10" s="298"/>
      <c r="M10" s="278"/>
      <c r="N10" s="277" t="s">
        <v>235</v>
      </c>
      <c r="O10" s="17"/>
      <c r="P10" s="17"/>
      <c r="R10" s="23" t="s">
        <v>1</v>
      </c>
      <c r="S10" s="5">
        <v>2</v>
      </c>
      <c r="T10" s="1">
        <f>VLOOKUP($E$5,$R$9:$S$11,2,FALSE)</f>
        <v>2</v>
      </c>
    </row>
    <row r="11" spans="1:20" ht="14.5" x14ac:dyDescent="0.35">
      <c r="A11" s="17"/>
      <c r="B11">
        <f>IF(COUNTIF($H$11:$H$24,H11)&gt;1,COUNTIF($H$11:$H$24,H11),0)</f>
        <v>0</v>
      </c>
      <c r="C11" s="199" t="s">
        <v>55</v>
      </c>
      <c r="D11" s="199" t="s">
        <v>22</v>
      </c>
      <c r="E11" s="200"/>
      <c r="F11" s="554"/>
      <c r="G11" s="555"/>
      <c r="H11" s="278" t="str">
        <f t="shared" ref="H11:H24" si="0">IF(F11="",D11,F11)</f>
        <v>Mature Breeders</v>
      </c>
      <c r="I11" s="199">
        <v>2015</v>
      </c>
      <c r="J11" s="199" t="s">
        <v>48</v>
      </c>
      <c r="K11" s="554"/>
      <c r="L11" s="555"/>
      <c r="M11" s="279" t="str">
        <f t="shared" ref="M11:M18" si="1">RIGHT(I11,1)</f>
        <v>5</v>
      </c>
      <c r="N11" s="278" t="str">
        <f t="shared" ref="N11:N18" si="2">IF(K11="",J11,K11)</f>
        <v>Blue</v>
      </c>
      <c r="O11" s="17"/>
      <c r="P11" s="17"/>
      <c r="R11" s="24" t="s">
        <v>2</v>
      </c>
      <c r="S11" s="6">
        <v>3</v>
      </c>
    </row>
    <row r="12" spans="1:20" ht="14.5" x14ac:dyDescent="0.35">
      <c r="A12" s="17"/>
      <c r="B12">
        <f t="shared" ref="B12:B24" si="3">IF(COUNTIF($H$11:$H$24,H12)&gt;1,COUNTIF($H$11:$H$24,H12),0)</f>
        <v>0</v>
      </c>
      <c r="C12" s="201" t="s">
        <v>53</v>
      </c>
      <c r="D12" s="201" t="str">
        <f>IF($E$7=27,"First Calf Heifers",IF($E$7=15,"3yo Breeders"))</f>
        <v>First Calf Heifers</v>
      </c>
      <c r="E12" s="202"/>
      <c r="F12" s="550"/>
      <c r="G12" s="551"/>
      <c r="H12" s="278" t="str">
        <f t="shared" si="0"/>
        <v>First Calf Heifers</v>
      </c>
      <c r="I12" s="201">
        <v>2016</v>
      </c>
      <c r="J12" s="201" t="s">
        <v>50</v>
      </c>
      <c r="K12" s="550"/>
      <c r="L12" s="551"/>
      <c r="M12" s="279" t="str">
        <f t="shared" si="1"/>
        <v>6</v>
      </c>
      <c r="N12" s="278" t="str">
        <f t="shared" si="2"/>
        <v>Black</v>
      </c>
      <c r="O12" s="17"/>
      <c r="P12" s="17"/>
      <c r="R12" s="2" t="s">
        <v>30</v>
      </c>
      <c r="S12" s="22">
        <v>0</v>
      </c>
      <c r="T12">
        <f>S12+VLOOKUP($E$5,$R$9:$S$11,2,FALSE)</f>
        <v>2</v>
      </c>
    </row>
    <row r="13" spans="1:20" ht="14.5" x14ac:dyDescent="0.35">
      <c r="A13" s="17"/>
      <c r="B13">
        <f t="shared" si="3"/>
        <v>0</v>
      </c>
      <c r="C13" s="201" t="s">
        <v>51</v>
      </c>
      <c r="D13" s="201" t="str">
        <f>IF($E$7=27,"Joiner Heifers",IF($E$7=15,"First Calf Heifers"))</f>
        <v>Joiner Heifers</v>
      </c>
      <c r="E13" s="202"/>
      <c r="F13" s="550"/>
      <c r="G13" s="551"/>
      <c r="H13" s="278" t="str">
        <f t="shared" si="0"/>
        <v>Joiner Heifers</v>
      </c>
      <c r="I13" s="201">
        <v>2017</v>
      </c>
      <c r="J13" s="201" t="s">
        <v>52</v>
      </c>
      <c r="K13" s="550"/>
      <c r="L13" s="551"/>
      <c r="M13" s="279" t="str">
        <f t="shared" si="1"/>
        <v>7</v>
      </c>
      <c r="N13" s="278" t="str">
        <f t="shared" si="2"/>
        <v>White</v>
      </c>
      <c r="O13" s="17"/>
      <c r="P13" s="17"/>
      <c r="R13" s="4" t="s">
        <v>27</v>
      </c>
      <c r="S13" s="25">
        <v>3</v>
      </c>
      <c r="T13">
        <f>S13+VLOOKUP($E$5,$R$9:$S$11,2,FALSE)</f>
        <v>5</v>
      </c>
    </row>
    <row r="14" spans="1:20" ht="14.5" x14ac:dyDescent="0.35">
      <c r="A14" s="17"/>
      <c r="B14">
        <f t="shared" si="3"/>
        <v>0</v>
      </c>
      <c r="C14" s="201" t="s">
        <v>49</v>
      </c>
      <c r="D14" s="201" t="str">
        <f>IF($E$7=27,"Replacement Heifers",IF($E$7=15,"Joiner Heifers"))</f>
        <v>Replacement Heifers</v>
      </c>
      <c r="E14" s="202"/>
      <c r="F14" s="550"/>
      <c r="G14" s="551"/>
      <c r="H14" s="278" t="str">
        <f t="shared" si="0"/>
        <v>Replacement Heifers</v>
      </c>
      <c r="I14" s="201">
        <v>2018</v>
      </c>
      <c r="J14" s="201" t="s">
        <v>54</v>
      </c>
      <c r="K14" s="550"/>
      <c r="L14" s="551"/>
      <c r="M14" s="279" t="str">
        <f t="shared" si="1"/>
        <v>8</v>
      </c>
      <c r="N14" s="278" t="str">
        <f t="shared" si="2"/>
        <v>Orange</v>
      </c>
      <c r="O14" s="17"/>
      <c r="P14" s="17"/>
      <c r="R14" s="7" t="s">
        <v>28</v>
      </c>
      <c r="S14" s="26">
        <v>6</v>
      </c>
      <c r="T14">
        <f>S14+VLOOKUP($E$5,$R$9:$S$11,2,FALSE)</f>
        <v>8</v>
      </c>
    </row>
    <row r="15" spans="1:20" ht="14.5" x14ac:dyDescent="0.35">
      <c r="A15" s="17"/>
      <c r="B15">
        <f t="shared" si="3"/>
        <v>0</v>
      </c>
      <c r="C15" s="201" t="s">
        <v>47</v>
      </c>
      <c r="D15" s="201" t="s">
        <v>21</v>
      </c>
      <c r="E15" s="202"/>
      <c r="F15" s="550"/>
      <c r="G15" s="551"/>
      <c r="H15" s="278" t="str">
        <f t="shared" si="0"/>
        <v>Weaner Heifers</v>
      </c>
      <c r="I15" s="201">
        <v>2019</v>
      </c>
      <c r="J15" s="201" t="s">
        <v>56</v>
      </c>
      <c r="K15" s="550"/>
      <c r="L15" s="551"/>
      <c r="M15" s="279" t="str">
        <f t="shared" si="1"/>
        <v>9</v>
      </c>
      <c r="N15" s="278" t="str">
        <f t="shared" si="2"/>
        <v>Green</v>
      </c>
      <c r="O15" s="17"/>
      <c r="P15" s="17"/>
    </row>
    <row r="16" spans="1:20" ht="14.5" x14ac:dyDescent="0.35">
      <c r="A16" s="17" t="s">
        <v>73</v>
      </c>
      <c r="B16">
        <f t="shared" si="3"/>
        <v>0</v>
      </c>
      <c r="C16" s="201" t="s">
        <v>57</v>
      </c>
      <c r="D16" s="201" t="s">
        <v>58</v>
      </c>
      <c r="E16" s="202"/>
      <c r="F16" s="550"/>
      <c r="G16" s="551"/>
      <c r="H16" s="278" t="str">
        <f t="shared" si="0"/>
        <v>Mixed Calves</v>
      </c>
      <c r="I16" s="201">
        <v>2020</v>
      </c>
      <c r="J16" s="201" t="s">
        <v>59</v>
      </c>
      <c r="K16" s="550"/>
      <c r="L16" s="551"/>
      <c r="M16" s="279" t="str">
        <f t="shared" si="1"/>
        <v>0</v>
      </c>
      <c r="N16" s="278" t="str">
        <f t="shared" si="2"/>
        <v>Purple</v>
      </c>
      <c r="O16" s="17"/>
      <c r="P16" s="17"/>
    </row>
    <row r="17" spans="1:16" ht="14.5" x14ac:dyDescent="0.35">
      <c r="A17" s="17"/>
      <c r="B17">
        <f t="shared" si="3"/>
        <v>0</v>
      </c>
      <c r="C17" s="201" t="s">
        <v>7</v>
      </c>
      <c r="D17" s="201" t="s">
        <v>19</v>
      </c>
      <c r="E17" s="202"/>
      <c r="F17" s="550"/>
      <c r="G17" s="551"/>
      <c r="H17" s="278" t="str">
        <f t="shared" si="0"/>
        <v>Bullocks</v>
      </c>
      <c r="I17" s="201">
        <v>2021</v>
      </c>
      <c r="J17" s="201" t="s">
        <v>60</v>
      </c>
      <c r="K17" s="550"/>
      <c r="L17" s="551"/>
      <c r="M17" s="279" t="str">
        <f t="shared" si="1"/>
        <v>1</v>
      </c>
      <c r="N17" s="278" t="str">
        <f t="shared" si="2"/>
        <v>Yellow</v>
      </c>
      <c r="O17" s="17"/>
      <c r="P17" s="17"/>
    </row>
    <row r="18" spans="1:16" ht="14.5" x14ac:dyDescent="0.35">
      <c r="A18" s="17"/>
      <c r="B18">
        <f t="shared" si="3"/>
        <v>0</v>
      </c>
      <c r="C18" s="201" t="s">
        <v>6</v>
      </c>
      <c r="D18" s="201" t="s">
        <v>18</v>
      </c>
      <c r="E18" s="202"/>
      <c r="F18" s="550"/>
      <c r="G18" s="551"/>
      <c r="H18" s="278" t="str">
        <f t="shared" si="0"/>
        <v>Grown Steers</v>
      </c>
      <c r="I18" s="203">
        <v>2022</v>
      </c>
      <c r="J18" s="203" t="s">
        <v>61</v>
      </c>
      <c r="K18" s="552"/>
      <c r="L18" s="553"/>
      <c r="M18" s="279" t="str">
        <f t="shared" si="1"/>
        <v>2</v>
      </c>
      <c r="N18" s="278" t="str">
        <f t="shared" si="2"/>
        <v>Red</v>
      </c>
      <c r="O18" s="17"/>
      <c r="P18" s="17"/>
    </row>
    <row r="19" spans="1:16" ht="14.5" x14ac:dyDescent="0.35">
      <c r="A19" s="17"/>
      <c r="B19">
        <f t="shared" si="3"/>
        <v>0</v>
      </c>
      <c r="C19" s="201" t="s">
        <v>5</v>
      </c>
      <c r="D19" s="201" t="s">
        <v>17</v>
      </c>
      <c r="E19" s="202"/>
      <c r="F19" s="550"/>
      <c r="G19" s="551"/>
      <c r="H19" s="278" t="str">
        <f t="shared" si="0"/>
        <v>Young Steers</v>
      </c>
      <c r="I19" s="17"/>
      <c r="K19" s="17"/>
      <c r="L19" s="17"/>
      <c r="M19" s="17"/>
      <c r="N19" s="17"/>
      <c r="O19" s="17"/>
      <c r="P19" s="17"/>
    </row>
    <row r="20" spans="1:16" ht="14.5" x14ac:dyDescent="0.35">
      <c r="A20" s="17"/>
      <c r="B20">
        <f t="shared" si="3"/>
        <v>0</v>
      </c>
      <c r="C20" s="201" t="s">
        <v>4</v>
      </c>
      <c r="D20" s="201" t="s">
        <v>16</v>
      </c>
      <c r="E20" s="202"/>
      <c r="F20" s="550"/>
      <c r="G20" s="551"/>
      <c r="H20" s="278" t="str">
        <f t="shared" si="0"/>
        <v>Weaner Steers</v>
      </c>
      <c r="I20" s="17"/>
      <c r="J20" s="271" t="s">
        <v>206</v>
      </c>
      <c r="K20" s="17"/>
      <c r="L20" s="17"/>
      <c r="M20" s="17"/>
      <c r="N20" s="17"/>
      <c r="O20" s="17"/>
      <c r="P20" s="17"/>
    </row>
    <row r="21" spans="1:16" ht="14.5" x14ac:dyDescent="0.35">
      <c r="A21" s="17"/>
      <c r="B21">
        <f t="shared" si="3"/>
        <v>0</v>
      </c>
      <c r="C21" s="201" t="s">
        <v>74</v>
      </c>
      <c r="D21" s="201" t="s">
        <v>15</v>
      </c>
      <c r="E21" s="202"/>
      <c r="F21" s="550"/>
      <c r="G21" s="551"/>
      <c r="H21" s="278" t="str">
        <f t="shared" si="0"/>
        <v>Mature Bulls</v>
      </c>
      <c r="I21" s="17"/>
      <c r="J21" s="276" t="s">
        <v>169</v>
      </c>
      <c r="K21" s="444">
        <v>0.70000000000000007</v>
      </c>
      <c r="L21" s="17"/>
      <c r="M21" s="17"/>
      <c r="N21" s="17"/>
      <c r="O21" s="17"/>
      <c r="P21" s="17"/>
    </row>
    <row r="22" spans="1:16" ht="14.5" x14ac:dyDescent="0.35">
      <c r="A22" s="17"/>
      <c r="B22">
        <f t="shared" si="3"/>
        <v>0</v>
      </c>
      <c r="C22" s="201" t="s">
        <v>10</v>
      </c>
      <c r="D22" s="201" t="s">
        <v>14</v>
      </c>
      <c r="E22" s="202"/>
      <c r="F22" s="550"/>
      <c r="G22" s="551"/>
      <c r="H22" s="278" t="str">
        <f t="shared" si="0"/>
        <v>Grown Bulls</v>
      </c>
      <c r="I22" s="17"/>
      <c r="J22" s="299" t="s">
        <v>3</v>
      </c>
      <c r="K22" s="299" t="s">
        <v>168</v>
      </c>
      <c r="L22" s="299" t="s">
        <v>207</v>
      </c>
      <c r="M22" s="277" t="s">
        <v>235</v>
      </c>
      <c r="N22" s="17"/>
      <c r="O22" s="17"/>
      <c r="P22" s="17"/>
    </row>
    <row r="23" spans="1:16" ht="14.5" x14ac:dyDescent="0.35">
      <c r="A23" s="17"/>
      <c r="B23">
        <f t="shared" si="3"/>
        <v>0</v>
      </c>
      <c r="C23" s="201" t="s">
        <v>9</v>
      </c>
      <c r="D23" s="201" t="s">
        <v>13</v>
      </c>
      <c r="E23" s="202"/>
      <c r="F23" s="550"/>
      <c r="G23" s="551"/>
      <c r="H23" s="278" t="str">
        <f t="shared" si="0"/>
        <v>Young Bulls</v>
      </c>
      <c r="I23" s="17"/>
      <c r="J23" s="206" t="s">
        <v>163</v>
      </c>
      <c r="K23" s="207">
        <f>HLOOKUP(J23,'Start here!'!$E$63:$H$74,('General Info'!$K$21*10)+2,FALSE)</f>
        <v>2.749234601340163</v>
      </c>
      <c r="L23" s="287"/>
      <c r="M23" s="280">
        <f>IF(L23="",K23,L23)</f>
        <v>2.749234601340163</v>
      </c>
      <c r="N23" s="17"/>
      <c r="O23" s="17"/>
      <c r="P23" s="17"/>
    </row>
    <row r="24" spans="1:16" ht="14.5" x14ac:dyDescent="0.35">
      <c r="A24" s="17"/>
      <c r="B24">
        <f t="shared" si="3"/>
        <v>0</v>
      </c>
      <c r="C24" s="203" t="s">
        <v>8</v>
      </c>
      <c r="D24" s="203" t="s">
        <v>12</v>
      </c>
      <c r="E24" s="204"/>
      <c r="F24" s="552"/>
      <c r="G24" s="553"/>
      <c r="H24" s="278" t="str">
        <f t="shared" si="0"/>
        <v>Weaner Bulls</v>
      </c>
      <c r="I24" s="17"/>
      <c r="J24" s="206" t="s">
        <v>164</v>
      </c>
      <c r="K24" s="207">
        <f>HLOOKUP(J24,'Start here!'!$E$63:$H$74,('General Info'!$K$21*10)+2,FALSE)</f>
        <v>2.5427739766356749</v>
      </c>
      <c r="L24" s="287"/>
      <c r="M24" s="280">
        <f>IF(L24="",K24,L24)</f>
        <v>2.5427739766356749</v>
      </c>
      <c r="N24" s="17"/>
      <c r="O24" s="17"/>
      <c r="P24" s="17"/>
    </row>
    <row r="25" spans="1:16" ht="14.5" x14ac:dyDescent="0.35">
      <c r="A25" s="17"/>
      <c r="C25" s="17"/>
      <c r="D25" s="17"/>
      <c r="E25" s="17"/>
      <c r="F25" s="17"/>
      <c r="G25" s="274" t="str">
        <f>IF(SUM(B11:B24)&gt;0,"ERROR: Each class name must be unique","")</f>
        <v/>
      </c>
      <c r="H25" s="17"/>
      <c r="I25" s="17"/>
      <c r="J25" s="206" t="s">
        <v>165</v>
      </c>
      <c r="K25" s="207">
        <f>HLOOKUP(J25,'Start here!'!$E$63:$H$74,('General Info'!$K$21*10)+2,FALSE)</f>
        <v>2.6292142564295746</v>
      </c>
      <c r="L25" s="287"/>
      <c r="M25" s="280">
        <f>IF(L25="",K25,L25)</f>
        <v>2.6292142564295746</v>
      </c>
      <c r="N25" s="17"/>
      <c r="O25" s="17"/>
      <c r="P25" s="17"/>
    </row>
    <row r="26" spans="1:16" ht="14.5" x14ac:dyDescent="0.35">
      <c r="A26" s="17"/>
      <c r="D26" s="17"/>
      <c r="E26" s="17"/>
      <c r="F26" s="17"/>
      <c r="G26" s="17"/>
      <c r="H26" s="17"/>
      <c r="I26" s="17"/>
      <c r="J26" s="208" t="s">
        <v>166</v>
      </c>
      <c r="K26" s="209">
        <f>HLOOKUP(J26,'Start here!'!$E$63:$H$74,('General Info'!$K$21*10)+2,FALSE)</f>
        <v>2.0472023583378909</v>
      </c>
      <c r="L26" s="288"/>
      <c r="M26" s="280">
        <f>IF(L26="",K26,L26)</f>
        <v>2.0472023583378909</v>
      </c>
      <c r="N26" s="17"/>
      <c r="O26" s="17"/>
      <c r="P26" s="17"/>
    </row>
    <row r="27" spans="1:16" ht="14.5" x14ac:dyDescent="0.35">
      <c r="A27" s="17"/>
      <c r="C27" s="19" t="s">
        <v>208</v>
      </c>
      <c r="D27" s="17"/>
      <c r="E27" s="17"/>
      <c r="F27" s="17"/>
      <c r="G27" s="17"/>
      <c r="H27" s="17"/>
      <c r="I27" s="17"/>
      <c r="J27" s="17"/>
      <c r="K27" s="17"/>
      <c r="L27" s="17"/>
      <c r="M27" s="280"/>
      <c r="N27" s="17"/>
      <c r="O27" s="17"/>
      <c r="P27" s="17"/>
    </row>
    <row r="28" spans="1:16" ht="14.5" x14ac:dyDescent="0.35">
      <c r="A28" s="17"/>
      <c r="C28" s="275"/>
      <c r="D28" s="301" t="s">
        <v>209</v>
      </c>
      <c r="E28" s="302"/>
      <c r="F28" s="303"/>
      <c r="G28" s="304" t="s">
        <v>207</v>
      </c>
      <c r="H28" s="17"/>
      <c r="I28" s="17"/>
      <c r="J28" s="17"/>
      <c r="K28" s="17"/>
      <c r="L28" s="17"/>
      <c r="M28" s="17"/>
      <c r="N28" s="17"/>
      <c r="O28" s="17"/>
      <c r="P28" s="17"/>
    </row>
    <row r="29" spans="1:16" ht="14.5" x14ac:dyDescent="0.35">
      <c r="A29" s="17"/>
      <c r="C29" s="300" t="s">
        <v>225</v>
      </c>
      <c r="D29" s="305" t="s">
        <v>0</v>
      </c>
      <c r="E29" s="306" t="s">
        <v>1</v>
      </c>
      <c r="F29" s="307" t="s">
        <v>2</v>
      </c>
      <c r="G29" s="308" t="s">
        <v>210</v>
      </c>
      <c r="H29" s="277" t="s">
        <v>235</v>
      </c>
      <c r="I29" s="17"/>
      <c r="J29" s="19" t="s">
        <v>226</v>
      </c>
      <c r="K29" s="17"/>
      <c r="L29" s="17"/>
      <c r="M29" s="17"/>
      <c r="N29" s="17"/>
      <c r="O29" s="17"/>
      <c r="P29" s="17"/>
    </row>
    <row r="30" spans="1:16" ht="14.5" x14ac:dyDescent="0.35">
      <c r="A30" s="17"/>
      <c r="C30" s="240" t="s">
        <v>218</v>
      </c>
      <c r="D30" s="243">
        <v>1.5490512726748071</v>
      </c>
      <c r="E30" s="244">
        <v>1.290739618919474</v>
      </c>
      <c r="F30" s="245">
        <v>1.0919166385805206</v>
      </c>
      <c r="G30" s="289"/>
      <c r="H30" s="281">
        <f t="shared" ref="H30:H34" ca="1" si="4">IF(G30&lt;F30,OFFSET(C30,0,$T$10),G30)</f>
        <v>1.290739618919474</v>
      </c>
      <c r="I30" s="17"/>
      <c r="J30" s="19"/>
      <c r="K30" s="301" t="s">
        <v>227</v>
      </c>
      <c r="L30" s="302"/>
      <c r="M30" s="303"/>
      <c r="N30" s="304" t="s">
        <v>207</v>
      </c>
      <c r="O30" s="17"/>
      <c r="P30" s="17"/>
    </row>
    <row r="31" spans="1:16" ht="14.5" x14ac:dyDescent="0.35">
      <c r="A31" s="17"/>
      <c r="C31" s="241" t="s">
        <v>217</v>
      </c>
      <c r="D31" s="246">
        <v>1.5743110106327258</v>
      </c>
      <c r="E31" s="247">
        <v>1.3170594803359585</v>
      </c>
      <c r="F31" s="248">
        <v>1.1083700172573761</v>
      </c>
      <c r="G31" s="290"/>
      <c r="H31" s="281">
        <f t="shared" ca="1" si="4"/>
        <v>1.3170594803359585</v>
      </c>
      <c r="I31" s="17"/>
      <c r="J31" s="439" t="s">
        <v>225</v>
      </c>
      <c r="K31" s="305" t="s">
        <v>0</v>
      </c>
      <c r="L31" s="306" t="s">
        <v>1</v>
      </c>
      <c r="M31" s="307" t="s">
        <v>2</v>
      </c>
      <c r="N31" s="440" t="s">
        <v>210</v>
      </c>
      <c r="O31" s="277" t="s">
        <v>235</v>
      </c>
      <c r="P31" s="17"/>
    </row>
    <row r="32" spans="1:16" ht="14.5" x14ac:dyDescent="0.35">
      <c r="A32" s="17"/>
      <c r="C32" s="241" t="s">
        <v>216</v>
      </c>
      <c r="D32" s="246">
        <v>1.6543363646212919</v>
      </c>
      <c r="E32" s="247">
        <v>1.5557903724850199</v>
      </c>
      <c r="F32" s="248">
        <v>1.2537753166956238</v>
      </c>
      <c r="G32" s="290"/>
      <c r="H32" s="281">
        <f t="shared" ca="1" si="4"/>
        <v>1.5557903724850199</v>
      </c>
      <c r="I32" s="17"/>
      <c r="J32" s="152" t="s">
        <v>233</v>
      </c>
      <c r="K32" s="252">
        <v>508.6522346521441</v>
      </c>
      <c r="L32" s="253">
        <v>464.3287821476809</v>
      </c>
      <c r="M32" s="254">
        <v>412</v>
      </c>
      <c r="N32" s="289"/>
      <c r="O32" s="282">
        <f t="shared" ref="O32:O41" ca="1" si="5">IF(N32&lt;M32,OFFSET(J32,0,$T$10),N32)</f>
        <v>464.3287821476809</v>
      </c>
      <c r="P32" s="17"/>
    </row>
    <row r="33" spans="1:18" ht="14.5" x14ac:dyDescent="0.35">
      <c r="A33" s="17"/>
      <c r="C33" s="241" t="s">
        <v>215</v>
      </c>
      <c r="D33" s="246">
        <v>1.7379724436591437</v>
      </c>
      <c r="E33" s="247">
        <v>1.0326086501176834</v>
      </c>
      <c r="F33" s="248">
        <v>0.85719877535401878</v>
      </c>
      <c r="G33" s="290"/>
      <c r="H33" s="281">
        <f t="shared" ca="1" si="4"/>
        <v>1.0326086501176834</v>
      </c>
      <c r="I33" s="17"/>
      <c r="J33" s="148" t="s">
        <v>213</v>
      </c>
      <c r="K33" s="255">
        <v>447.42007682056169</v>
      </c>
      <c r="L33" s="256">
        <v>402.5155323554809</v>
      </c>
      <c r="M33" s="257">
        <v>348.5</v>
      </c>
      <c r="N33" s="290"/>
      <c r="O33" s="282">
        <f t="shared" ca="1" si="5"/>
        <v>402.5155323554809</v>
      </c>
      <c r="P33" s="17"/>
    </row>
    <row r="34" spans="1:18" ht="14.5" x14ac:dyDescent="0.35">
      <c r="A34" s="17"/>
      <c r="C34" s="242" t="s">
        <v>214</v>
      </c>
      <c r="D34" s="249">
        <v>0.94977359041961185</v>
      </c>
      <c r="E34" s="250">
        <v>0.82164113416901419</v>
      </c>
      <c r="F34" s="251">
        <v>0.63616729029225105</v>
      </c>
      <c r="G34" s="291"/>
      <c r="H34" s="281">
        <f t="shared" ca="1" si="4"/>
        <v>0.82164113416901419</v>
      </c>
      <c r="I34" s="17"/>
      <c r="J34" s="148" t="s">
        <v>212</v>
      </c>
      <c r="K34" s="255">
        <v>343.19886677250452</v>
      </c>
      <c r="L34" s="256">
        <v>302.91143836221266</v>
      </c>
      <c r="M34" s="257">
        <v>254.75</v>
      </c>
      <c r="N34" s="290"/>
      <c r="O34" s="282">
        <f t="shared" ca="1" si="5"/>
        <v>302.91143836221266</v>
      </c>
      <c r="P34" s="17"/>
    </row>
    <row r="35" spans="1:18" ht="14.5" x14ac:dyDescent="0.35">
      <c r="A35" s="17"/>
      <c r="C35" s="241" t="s">
        <v>293</v>
      </c>
      <c r="D35" s="246">
        <v>1.414476064352219</v>
      </c>
      <c r="E35" s="247">
        <v>1.3621110776747916</v>
      </c>
      <c r="F35" s="248">
        <v>1.1277641220962693</v>
      </c>
      <c r="G35" s="290"/>
      <c r="H35" s="281">
        <f t="shared" ref="H35:H41" ca="1" si="6">IF(G35&lt;F35,OFFSET(C35,0,$T$10),G35)</f>
        <v>1.3621110776747916</v>
      </c>
      <c r="I35" s="17"/>
      <c r="J35" s="149" t="s">
        <v>211</v>
      </c>
      <c r="K35" s="258">
        <v>201.48067674021462</v>
      </c>
      <c r="L35" s="259">
        <v>179.42279878454852</v>
      </c>
      <c r="M35" s="260">
        <v>170.4803201730696</v>
      </c>
      <c r="N35" s="291"/>
      <c r="O35" s="282">
        <f t="shared" ca="1" si="5"/>
        <v>179.42279878454852</v>
      </c>
      <c r="P35" s="17"/>
    </row>
    <row r="36" spans="1:18" ht="14.5" x14ac:dyDescent="0.35">
      <c r="A36" s="17"/>
      <c r="C36" s="241" t="s">
        <v>220</v>
      </c>
      <c r="D36" s="246">
        <v>1.4336759588048016</v>
      </c>
      <c r="E36" s="247">
        <v>1.1958883488899517</v>
      </c>
      <c r="F36" s="248">
        <v>0.91224206593353285</v>
      </c>
      <c r="G36" s="290"/>
      <c r="H36" s="281">
        <f t="shared" ca="1" si="6"/>
        <v>1.1958883488899517</v>
      </c>
      <c r="I36" s="17"/>
      <c r="J36" s="152" t="s">
        <v>230</v>
      </c>
      <c r="K36" s="252">
        <v>551.875</v>
      </c>
      <c r="L36" s="253">
        <v>467.92588410154082</v>
      </c>
      <c r="M36" s="254">
        <v>381.36886951464123</v>
      </c>
      <c r="N36" s="289"/>
      <c r="O36" s="282">
        <f t="shared" ca="1" si="5"/>
        <v>467.92588410154082</v>
      </c>
      <c r="P36" s="17"/>
    </row>
    <row r="37" spans="1:18" ht="14.5" x14ac:dyDescent="0.35">
      <c r="A37" s="17"/>
      <c r="C37" s="242" t="s">
        <v>219</v>
      </c>
      <c r="D37" s="249">
        <v>1.0751948066390242</v>
      </c>
      <c r="E37" s="250">
        <v>0.90039124570899398</v>
      </c>
      <c r="F37" s="251">
        <v>0.6856961707887369</v>
      </c>
      <c r="G37" s="291"/>
      <c r="H37" s="281">
        <f t="shared" ca="1" si="6"/>
        <v>0.90039124570899398</v>
      </c>
      <c r="I37" s="17"/>
      <c r="J37" s="148" t="s">
        <v>229</v>
      </c>
      <c r="K37" s="255">
        <v>394.86836288054076</v>
      </c>
      <c r="L37" s="256">
        <v>338.79516094549348</v>
      </c>
      <c r="M37" s="257">
        <v>279.36886951464123</v>
      </c>
      <c r="N37" s="290"/>
      <c r="O37" s="282">
        <f t="shared" ca="1" si="5"/>
        <v>338.79516094549348</v>
      </c>
      <c r="P37" s="17"/>
    </row>
    <row r="38" spans="1:18" ht="14.5" x14ac:dyDescent="0.35">
      <c r="A38" s="17"/>
      <c r="C38" s="240" t="s">
        <v>224</v>
      </c>
      <c r="D38" s="243">
        <v>1.634588149049736</v>
      </c>
      <c r="E38" s="244">
        <v>1.5744484601398487</v>
      </c>
      <c r="F38" s="245">
        <v>1.3313697446834087</v>
      </c>
      <c r="G38" s="289"/>
      <c r="H38" s="281">
        <f t="shared" ca="1" si="6"/>
        <v>1.5744484601398487</v>
      </c>
      <c r="I38" s="17"/>
      <c r="J38" s="149" t="s">
        <v>228</v>
      </c>
      <c r="K38" s="258">
        <v>218.90428851619868</v>
      </c>
      <c r="L38" s="259">
        <v>188.63903642287846</v>
      </c>
      <c r="M38" s="260">
        <v>174.5</v>
      </c>
      <c r="N38" s="291"/>
      <c r="O38" s="282">
        <f t="shared" ca="1" si="5"/>
        <v>188.63903642287846</v>
      </c>
      <c r="P38" s="17"/>
    </row>
    <row r="39" spans="1:18" ht="14.5" x14ac:dyDescent="0.35">
      <c r="A39" s="17"/>
      <c r="C39" s="241" t="s">
        <v>223</v>
      </c>
      <c r="D39" s="246">
        <v>1.6681966915145556</v>
      </c>
      <c r="E39" s="247">
        <v>1.672340968336133</v>
      </c>
      <c r="F39" s="248">
        <v>1.4636881051486612</v>
      </c>
      <c r="G39" s="290"/>
      <c r="H39" s="281">
        <f t="shared" ca="1" si="6"/>
        <v>1.672340968336133</v>
      </c>
      <c r="I39" s="17"/>
      <c r="J39" s="152" t="s">
        <v>234</v>
      </c>
      <c r="K39" s="252">
        <v>719.48490744141759</v>
      </c>
      <c r="L39" s="253">
        <v>690.0619372850465</v>
      </c>
      <c r="M39" s="254">
        <v>615.25</v>
      </c>
      <c r="N39" s="289"/>
      <c r="O39" s="282">
        <f t="shared" ca="1" si="5"/>
        <v>690.0619372850465</v>
      </c>
      <c r="P39" s="17"/>
    </row>
    <row r="40" spans="1:18" ht="14.5" x14ac:dyDescent="0.35">
      <c r="A40" s="17"/>
      <c r="C40" s="241" t="s">
        <v>222</v>
      </c>
      <c r="D40" s="246">
        <v>1.619755302216958</v>
      </c>
      <c r="E40" s="247">
        <v>1.4143701938222275</v>
      </c>
      <c r="F40" s="248">
        <v>1.1471807807278609</v>
      </c>
      <c r="G40" s="290"/>
      <c r="H40" s="281">
        <f t="shared" ca="1" si="6"/>
        <v>1.4143701938222275</v>
      </c>
      <c r="I40" s="17"/>
      <c r="J40" s="148" t="s">
        <v>232</v>
      </c>
      <c r="K40" s="255">
        <v>412.87148513890429</v>
      </c>
      <c r="L40" s="256">
        <v>364.12849427882679</v>
      </c>
      <c r="M40" s="257">
        <v>306.5</v>
      </c>
      <c r="N40" s="290"/>
      <c r="O40" s="282">
        <f t="shared" ca="1" si="5"/>
        <v>364.12849427882679</v>
      </c>
      <c r="P40" s="17"/>
    </row>
    <row r="41" spans="1:18" ht="14.5" x14ac:dyDescent="0.35">
      <c r="A41" s="17"/>
      <c r="C41" s="242" t="s">
        <v>221</v>
      </c>
      <c r="D41" s="249">
        <v>1.1771657830394839</v>
      </c>
      <c r="E41" s="250">
        <v>1.0236502452492116</v>
      </c>
      <c r="F41" s="251">
        <v>0.80581857984493221</v>
      </c>
      <c r="G41" s="291"/>
      <c r="H41" s="281">
        <f t="shared" ca="1" si="6"/>
        <v>1.0236502452492116</v>
      </c>
      <c r="I41" s="17"/>
      <c r="J41" s="149" t="s">
        <v>231</v>
      </c>
      <c r="K41" s="258">
        <v>220.40428851619868</v>
      </c>
      <c r="L41" s="259">
        <v>190.99892823352016</v>
      </c>
      <c r="M41" s="260">
        <v>176.75</v>
      </c>
      <c r="N41" s="291"/>
      <c r="O41" s="282">
        <f t="shared" ca="1" si="5"/>
        <v>190.99892823352016</v>
      </c>
      <c r="P41" s="17"/>
    </row>
    <row r="42" spans="1:18" ht="14.5" x14ac:dyDescent="0.35">
      <c r="A42" s="17"/>
      <c r="I42" s="17"/>
      <c r="P42" s="17"/>
    </row>
    <row r="43" spans="1:18" ht="14.5" x14ac:dyDescent="0.35">
      <c r="A43" s="17"/>
      <c r="C43" s="19" t="s">
        <v>181</v>
      </c>
      <c r="D43" s="17"/>
      <c r="E43" s="17"/>
      <c r="F43" s="17"/>
      <c r="G43" s="17"/>
      <c r="H43" s="17"/>
      <c r="I43" s="17"/>
      <c r="J43" s="17"/>
      <c r="K43" s="17"/>
      <c r="L43" s="17"/>
      <c r="M43" s="17"/>
      <c r="N43" s="17"/>
      <c r="O43" s="17"/>
      <c r="P43" s="17"/>
    </row>
    <row r="44" spans="1:18" ht="14.5" x14ac:dyDescent="0.35">
      <c r="A44" s="17"/>
      <c r="C44" s="292" t="s">
        <v>63</v>
      </c>
      <c r="D44" s="309"/>
      <c r="E44" s="309"/>
      <c r="F44" s="293"/>
      <c r="G44" s="294" t="s">
        <v>182</v>
      </c>
      <c r="H44" s="310"/>
      <c r="I44" s="294" t="s">
        <v>183</v>
      </c>
      <c r="J44" s="310"/>
      <c r="K44" s="297" t="s">
        <v>64</v>
      </c>
      <c r="L44" s="292" t="s">
        <v>11</v>
      </c>
      <c r="M44" s="293"/>
      <c r="N44" s="17"/>
      <c r="O44" s="17"/>
      <c r="P44" s="17"/>
    </row>
    <row r="45" spans="1:18" ht="29" x14ac:dyDescent="0.35">
      <c r="A45" s="17"/>
      <c r="B45" s="12" t="s">
        <v>62</v>
      </c>
      <c r="C45" s="311" t="s">
        <v>26</v>
      </c>
      <c r="D45" s="312" t="s">
        <v>29</v>
      </c>
      <c r="E45" s="313" t="s">
        <v>65</v>
      </c>
      <c r="F45" s="314" t="s">
        <v>45</v>
      </c>
      <c r="G45" s="315" t="s">
        <v>66</v>
      </c>
      <c r="H45" s="314" t="s">
        <v>67</v>
      </c>
      <c r="I45" s="315" t="s">
        <v>68</v>
      </c>
      <c r="J45" s="314" t="s">
        <v>69</v>
      </c>
      <c r="K45" s="316" t="s">
        <v>70</v>
      </c>
      <c r="L45" s="316" t="s">
        <v>24</v>
      </c>
      <c r="M45" s="316" t="s">
        <v>25</v>
      </c>
      <c r="N45" s="17"/>
      <c r="O45" s="17"/>
      <c r="P45" s="17"/>
      <c r="R45" s="1"/>
    </row>
    <row r="46" spans="1:18" ht="14.5" x14ac:dyDescent="0.35">
      <c r="A46" s="17"/>
      <c r="B46" s="13" t="s">
        <v>65</v>
      </c>
      <c r="C46" s="210" t="s">
        <v>30</v>
      </c>
      <c r="D46" s="211" t="s">
        <v>31</v>
      </c>
      <c r="E46" s="212" t="str">
        <f>"#"&amp;RIGHT(B47,1)&amp;"+"</f>
        <v>#7+</v>
      </c>
      <c r="F46" s="213" t="s">
        <v>23</v>
      </c>
      <c r="G46" s="210">
        <v>43</v>
      </c>
      <c r="H46" s="214" t="str">
        <f>H11</f>
        <v>Mature Breeders</v>
      </c>
      <c r="I46" s="215">
        <v>54</v>
      </c>
      <c r="J46" s="214" t="str">
        <f>H11</f>
        <v>Mature Breeders</v>
      </c>
      <c r="K46" s="216">
        <f ca="1">H30</f>
        <v>1.290739618919474</v>
      </c>
      <c r="L46" s="217">
        <f ca="1">O32</f>
        <v>464.3287821476809</v>
      </c>
      <c r="M46" s="217">
        <f ca="1">L46</f>
        <v>464.3287821476809</v>
      </c>
      <c r="N46" s="17"/>
      <c r="O46" s="17"/>
      <c r="P46" s="17"/>
    </row>
    <row r="47" spans="1:18" ht="14.5" x14ac:dyDescent="0.35">
      <c r="A47" s="17"/>
      <c r="B47" s="18">
        <f>B48-1</f>
        <v>7</v>
      </c>
      <c r="C47" s="218" t="s">
        <v>30</v>
      </c>
      <c r="D47" s="219" t="s">
        <v>32</v>
      </c>
      <c r="E47" s="220" t="str">
        <f>"#"&amp;RIGHT(B48,1)</f>
        <v>#8</v>
      </c>
      <c r="F47" s="221" t="str">
        <f t="shared" ref="F47:F54" si="7">VLOOKUP(RIGHT(B48,1),$M$11:$N$18,2,FALSE)</f>
        <v>Orange</v>
      </c>
      <c r="G47" s="218">
        <v>31</v>
      </c>
      <c r="H47" s="222" t="str">
        <f t="shared" ref="H47:H48" si="8">J48</f>
        <v>Joiner Heifers</v>
      </c>
      <c r="I47" s="218">
        <v>42</v>
      </c>
      <c r="J47" s="222" t="str">
        <f>H12</f>
        <v>First Calf Heifers</v>
      </c>
      <c r="K47" s="223">
        <f ca="1">H32</f>
        <v>1.5557903724850199</v>
      </c>
      <c r="L47" s="224">
        <f ca="1">M48</f>
        <v>402.5155323554809</v>
      </c>
      <c r="M47" s="224">
        <f ca="1">L46</f>
        <v>464.3287821476809</v>
      </c>
      <c r="N47" s="17"/>
      <c r="O47" s="17"/>
      <c r="P47" s="17"/>
    </row>
    <row r="48" spans="1:18" ht="14.5" x14ac:dyDescent="0.35">
      <c r="A48" s="17"/>
      <c r="B48" s="14">
        <f>B49-1</f>
        <v>8</v>
      </c>
      <c r="C48" s="218" t="s">
        <v>30</v>
      </c>
      <c r="D48" s="219" t="s">
        <v>33</v>
      </c>
      <c r="E48" s="220" t="str">
        <f>"#"&amp;RIGHT(B49,1)</f>
        <v>#9</v>
      </c>
      <c r="F48" s="221" t="str">
        <f t="shared" si="7"/>
        <v>Green</v>
      </c>
      <c r="G48" s="218">
        <v>19</v>
      </c>
      <c r="H48" s="222" t="str">
        <f t="shared" si="8"/>
        <v>Replacement Heifers</v>
      </c>
      <c r="I48" s="218">
        <v>30</v>
      </c>
      <c r="J48" s="222" t="str">
        <f>H13</f>
        <v>Joiner Heifers</v>
      </c>
      <c r="K48" s="223">
        <f ca="1">H33</f>
        <v>1.0326086501176834</v>
      </c>
      <c r="L48" s="224">
        <f ca="1">M49</f>
        <v>302.91143836221266</v>
      </c>
      <c r="M48" s="224">
        <f ca="1">O33</f>
        <v>402.5155323554809</v>
      </c>
      <c r="N48" s="17"/>
      <c r="O48" s="17"/>
      <c r="P48" s="17"/>
    </row>
    <row r="49" spans="1:16" ht="14.5" x14ac:dyDescent="0.35">
      <c r="A49" s="17"/>
      <c r="B49" s="14">
        <f>B50-1</f>
        <v>9</v>
      </c>
      <c r="C49" s="218" t="s">
        <v>30</v>
      </c>
      <c r="D49" s="219" t="s">
        <v>34</v>
      </c>
      <c r="E49" s="220" t="str">
        <f>"#"&amp;RIGHT(B50,1)</f>
        <v>#0</v>
      </c>
      <c r="F49" s="221" t="str">
        <f t="shared" si="7"/>
        <v>Purple</v>
      </c>
      <c r="G49" s="218">
        <v>7</v>
      </c>
      <c r="H49" s="222" t="str">
        <f>J50</f>
        <v>Weaner Heifers</v>
      </c>
      <c r="I49" s="218">
        <v>18</v>
      </c>
      <c r="J49" s="222" t="str">
        <f>H14</f>
        <v>Replacement Heifers</v>
      </c>
      <c r="K49" s="223">
        <f ca="1">H34</f>
        <v>0.82164113416901419</v>
      </c>
      <c r="L49" s="224">
        <f ca="1">M50</f>
        <v>179.42279878454852</v>
      </c>
      <c r="M49" s="224">
        <f ca="1">O34</f>
        <v>302.91143836221266</v>
      </c>
      <c r="N49" s="17"/>
      <c r="O49" s="17"/>
      <c r="P49" s="17"/>
    </row>
    <row r="50" spans="1:16" ht="14.5" x14ac:dyDescent="0.35">
      <c r="A50" s="17"/>
      <c r="B50" s="14">
        <f>B51-1</f>
        <v>10</v>
      </c>
      <c r="C50" s="225" t="s">
        <v>30</v>
      </c>
      <c r="D50" s="226" t="s">
        <v>35</v>
      </c>
      <c r="E50" s="227" t="str">
        <f>"#"&amp;RIGHT(B51,1)</f>
        <v>#1</v>
      </c>
      <c r="F50" s="228" t="str">
        <f t="shared" si="7"/>
        <v>Yellow</v>
      </c>
      <c r="G50" s="225">
        <v>0</v>
      </c>
      <c r="H50" s="229" t="s">
        <v>170</v>
      </c>
      <c r="I50" s="225">
        <v>6</v>
      </c>
      <c r="J50" s="229" t="str">
        <f>H15</f>
        <v>Weaner Heifers</v>
      </c>
      <c r="K50" s="230"/>
      <c r="L50" s="231">
        <v>0</v>
      </c>
      <c r="M50" s="231">
        <f ca="1">O35</f>
        <v>179.42279878454852</v>
      </c>
      <c r="N50" s="17"/>
      <c r="O50" s="17"/>
      <c r="P50" s="17"/>
    </row>
    <row r="51" spans="1:16" ht="14.5" x14ac:dyDescent="0.35">
      <c r="A51" s="17"/>
      <c r="B51" s="15">
        <f>$B$8</f>
        <v>11</v>
      </c>
      <c r="C51" s="210" t="s">
        <v>27</v>
      </c>
      <c r="D51" s="211" t="s">
        <v>32</v>
      </c>
      <c r="E51" s="212" t="str">
        <f>"#"&amp;RIGHT(B52,1)&amp;"+"</f>
        <v>#8+</v>
      </c>
      <c r="F51" s="213" t="str">
        <f t="shared" si="7"/>
        <v>Orange</v>
      </c>
      <c r="G51" s="210">
        <v>31</v>
      </c>
      <c r="H51" s="214" t="str">
        <f>H17</f>
        <v>Bullocks</v>
      </c>
      <c r="I51" s="215">
        <v>42</v>
      </c>
      <c r="J51" s="214" t="str">
        <f>H17</f>
        <v>Bullocks</v>
      </c>
      <c r="K51" s="232">
        <f ca="1">H35</f>
        <v>1.3621110776747916</v>
      </c>
      <c r="L51" s="233">
        <f t="shared" ref="L51:L57" ca="1" si="9">M52</f>
        <v>467.92588410154082</v>
      </c>
      <c r="M51" s="233">
        <f ca="1">L51</f>
        <v>467.92588410154082</v>
      </c>
      <c r="N51" s="17"/>
      <c r="O51" s="17"/>
      <c r="P51" s="17"/>
    </row>
    <row r="52" spans="1:16" ht="14.5" x14ac:dyDescent="0.35">
      <c r="A52" s="17"/>
      <c r="B52" s="18">
        <f>B53-1</f>
        <v>8</v>
      </c>
      <c r="C52" s="218" t="s">
        <v>27</v>
      </c>
      <c r="D52" s="219" t="s">
        <v>33</v>
      </c>
      <c r="E52" s="220" t="str">
        <f>"#"&amp;RIGHT(B53,1)</f>
        <v>#9</v>
      </c>
      <c r="F52" s="221" t="str">
        <f t="shared" si="7"/>
        <v>Green</v>
      </c>
      <c r="G52" s="218">
        <v>19</v>
      </c>
      <c r="H52" s="222" t="str">
        <f t="shared" ref="H52" si="10">J53</f>
        <v>Young Steers</v>
      </c>
      <c r="I52" s="218">
        <v>30</v>
      </c>
      <c r="J52" s="222" t="str">
        <f>H18</f>
        <v>Grown Steers</v>
      </c>
      <c r="K52" s="223">
        <f ca="1">H36</f>
        <v>1.1958883488899517</v>
      </c>
      <c r="L52" s="224">
        <f t="shared" ca="1" si="9"/>
        <v>338.79516094549348</v>
      </c>
      <c r="M52" s="224">
        <f ca="1">O36</f>
        <v>467.92588410154082</v>
      </c>
      <c r="N52" s="17"/>
      <c r="O52" s="17"/>
      <c r="P52" s="17"/>
    </row>
    <row r="53" spans="1:16" ht="14.5" x14ac:dyDescent="0.35">
      <c r="A53" s="17"/>
      <c r="B53" s="14">
        <f>B54-1</f>
        <v>9</v>
      </c>
      <c r="C53" s="218" t="s">
        <v>27</v>
      </c>
      <c r="D53" s="219" t="s">
        <v>34</v>
      </c>
      <c r="E53" s="220" t="str">
        <f>"#"&amp;RIGHT(B54,1)</f>
        <v>#0</v>
      </c>
      <c r="F53" s="221" t="str">
        <f t="shared" si="7"/>
        <v>Purple</v>
      </c>
      <c r="G53" s="218">
        <v>7</v>
      </c>
      <c r="H53" s="222" t="str">
        <f>J54</f>
        <v>Weaner Steers</v>
      </c>
      <c r="I53" s="218">
        <v>18</v>
      </c>
      <c r="J53" s="222" t="str">
        <f>H19</f>
        <v>Young Steers</v>
      </c>
      <c r="K53" s="223">
        <f ca="1">H37</f>
        <v>0.90039124570899398</v>
      </c>
      <c r="L53" s="224">
        <f t="shared" ca="1" si="9"/>
        <v>188.63903642287846</v>
      </c>
      <c r="M53" s="224">
        <f ca="1">O37</f>
        <v>338.79516094549348</v>
      </c>
      <c r="N53" s="17"/>
      <c r="O53" s="17"/>
      <c r="P53" s="17"/>
    </row>
    <row r="54" spans="1:16" ht="14.5" x14ac:dyDescent="0.35">
      <c r="A54" s="17"/>
      <c r="B54" s="14">
        <f>B55-1</f>
        <v>10</v>
      </c>
      <c r="C54" s="225" t="s">
        <v>27</v>
      </c>
      <c r="D54" s="226" t="s">
        <v>35</v>
      </c>
      <c r="E54" s="227" t="str">
        <f>"#"&amp;RIGHT(B55,1)</f>
        <v>#1</v>
      </c>
      <c r="F54" s="228" t="str">
        <f t="shared" si="7"/>
        <v>Yellow</v>
      </c>
      <c r="G54" s="225">
        <v>0</v>
      </c>
      <c r="H54" s="229" t="s">
        <v>170</v>
      </c>
      <c r="I54" s="225">
        <v>6</v>
      </c>
      <c r="J54" s="229" t="str">
        <f>H20</f>
        <v>Weaner Steers</v>
      </c>
      <c r="K54" s="230"/>
      <c r="L54" s="231">
        <v>0</v>
      </c>
      <c r="M54" s="231">
        <f ca="1">O38</f>
        <v>188.63903642287846</v>
      </c>
      <c r="N54" s="17"/>
      <c r="O54" s="17"/>
      <c r="P54" s="17"/>
    </row>
    <row r="55" spans="1:16" ht="14.5" x14ac:dyDescent="0.35">
      <c r="A55" s="17"/>
      <c r="B55" s="15">
        <f>$B$8</f>
        <v>11</v>
      </c>
      <c r="C55" s="210" t="s">
        <v>28</v>
      </c>
      <c r="D55" s="211" t="s">
        <v>32</v>
      </c>
      <c r="E55" s="212" t="str">
        <f>"#"&amp;RIGHT(B56,1)&amp;"+"</f>
        <v>#8+</v>
      </c>
      <c r="F55" s="213" t="s">
        <v>23</v>
      </c>
      <c r="G55" s="210">
        <v>31</v>
      </c>
      <c r="H55" s="214" t="str">
        <f>D21</f>
        <v>Mature Bulls</v>
      </c>
      <c r="I55" s="215">
        <v>42</v>
      </c>
      <c r="J55" s="214" t="str">
        <f>D21</f>
        <v>Mature Bulls</v>
      </c>
      <c r="K55" s="232">
        <f ca="1">H38</f>
        <v>1.5744484601398487</v>
      </c>
      <c r="L55" s="233">
        <f t="shared" ca="1" si="9"/>
        <v>690.0619372850465</v>
      </c>
      <c r="M55" s="233">
        <f ca="1">L55</f>
        <v>690.0619372850465</v>
      </c>
      <c r="N55" s="17"/>
      <c r="O55" s="17"/>
      <c r="P55" s="17"/>
    </row>
    <row r="56" spans="1:16" ht="14.5" x14ac:dyDescent="0.35">
      <c r="A56" s="17"/>
      <c r="B56" s="14">
        <f>B57-1</f>
        <v>8</v>
      </c>
      <c r="C56" s="218" t="s">
        <v>28</v>
      </c>
      <c r="D56" s="219" t="s">
        <v>33</v>
      </c>
      <c r="E56" s="220" t="str">
        <f>"#"&amp;RIGHT(B57,1)</f>
        <v>#9</v>
      </c>
      <c r="F56" s="221" t="str">
        <f>VLOOKUP(RIGHT(B57,1),$M$11:$N$18,2,FALSE)</f>
        <v>Green</v>
      </c>
      <c r="G56" s="218">
        <v>19</v>
      </c>
      <c r="H56" s="222" t="str">
        <f>J57</f>
        <v>Young Bulls</v>
      </c>
      <c r="I56" s="218">
        <v>30</v>
      </c>
      <c r="J56" s="222" t="str">
        <f>D22</f>
        <v>Grown Bulls</v>
      </c>
      <c r="K56" s="223">
        <f ca="1">H40</f>
        <v>1.4143701938222275</v>
      </c>
      <c r="L56" s="224">
        <f t="shared" ca="1" si="9"/>
        <v>364.12849427882679</v>
      </c>
      <c r="M56" s="224">
        <f ca="1">O39</f>
        <v>690.0619372850465</v>
      </c>
      <c r="N56" s="17"/>
      <c r="O56" s="17"/>
      <c r="P56" s="17"/>
    </row>
    <row r="57" spans="1:16" ht="14.5" x14ac:dyDescent="0.35">
      <c r="A57" s="17"/>
      <c r="B57" s="14">
        <f>B58-1</f>
        <v>9</v>
      </c>
      <c r="C57" s="218" t="s">
        <v>28</v>
      </c>
      <c r="D57" s="219" t="s">
        <v>34</v>
      </c>
      <c r="E57" s="220" t="str">
        <f>"#"&amp;RIGHT(B58,1)</f>
        <v>#0</v>
      </c>
      <c r="F57" s="221" t="str">
        <f>VLOOKUP(RIGHT(B58,1),$M$11:$N$18,2,FALSE)</f>
        <v>Purple</v>
      </c>
      <c r="G57" s="218">
        <v>7</v>
      </c>
      <c r="H57" s="222" t="str">
        <f>J58</f>
        <v>Weaner Bulls</v>
      </c>
      <c r="I57" s="218">
        <v>18</v>
      </c>
      <c r="J57" s="222" t="str">
        <f>H23</f>
        <v>Young Bulls</v>
      </c>
      <c r="K57" s="223">
        <f ca="1">H41</f>
        <v>1.0236502452492116</v>
      </c>
      <c r="L57" s="224">
        <f t="shared" ca="1" si="9"/>
        <v>190.99892823352016</v>
      </c>
      <c r="M57" s="224">
        <f ca="1">O40</f>
        <v>364.12849427882679</v>
      </c>
      <c r="N57" s="17"/>
      <c r="O57" s="17"/>
      <c r="P57" s="17"/>
    </row>
    <row r="58" spans="1:16" ht="14.5" x14ac:dyDescent="0.35">
      <c r="A58" s="17"/>
      <c r="B58" s="14">
        <f>B59-1</f>
        <v>10</v>
      </c>
      <c r="C58" s="225" t="s">
        <v>28</v>
      </c>
      <c r="D58" s="226" t="s">
        <v>35</v>
      </c>
      <c r="E58" s="227" t="str">
        <f>"#"&amp;RIGHT(B59,1)</f>
        <v>#1</v>
      </c>
      <c r="F58" s="228" t="str">
        <f>VLOOKUP(RIGHT(B59,1),$M$11:$N$18,2,FALSE)</f>
        <v>Yellow</v>
      </c>
      <c r="G58" s="225">
        <v>0</v>
      </c>
      <c r="H58" s="229" t="s">
        <v>170</v>
      </c>
      <c r="I58" s="225">
        <v>6</v>
      </c>
      <c r="J58" s="229" t="str">
        <f>H24</f>
        <v>Weaner Bulls</v>
      </c>
      <c r="K58" s="230"/>
      <c r="L58" s="231">
        <v>0</v>
      </c>
      <c r="M58" s="231">
        <f ca="1">O41</f>
        <v>190.99892823352016</v>
      </c>
      <c r="N58" s="17"/>
      <c r="O58" s="17"/>
      <c r="P58" s="17"/>
    </row>
    <row r="59" spans="1:16" ht="14.5" x14ac:dyDescent="0.35">
      <c r="A59" s="17"/>
      <c r="B59" s="15">
        <f>$B$8</f>
        <v>11</v>
      </c>
      <c r="C59" s="17"/>
      <c r="D59" s="17"/>
      <c r="E59" s="17"/>
      <c r="F59" s="17"/>
      <c r="G59" s="17"/>
      <c r="H59" s="17"/>
      <c r="I59" s="17"/>
      <c r="J59" s="17"/>
      <c r="K59" s="17"/>
      <c r="L59" s="17"/>
      <c r="M59" s="17"/>
      <c r="N59" s="17"/>
      <c r="O59" s="17"/>
      <c r="P59" s="17"/>
    </row>
    <row r="60" spans="1:16" ht="15.75" hidden="1" customHeight="1" x14ac:dyDescent="0.35">
      <c r="A60" s="17"/>
      <c r="B60" s="8"/>
    </row>
    <row r="63" spans="1:16" ht="15.75" hidden="1" customHeight="1" x14ac:dyDescent="0.35"/>
    <row r="64" spans="1:16" ht="15" customHeight="1" x14ac:dyDescent="0.35"/>
  </sheetData>
  <sheetProtection algorithmName="SHA-512" hashValue="Dgg0uDEei4d5nLEBVBi8bxVQXLPvB+ELPOE4Z05VM37DruuXu86mrleWuPO5ZYr5oP9DJPj/t0UsjvkIA/CGmQ==" saltValue="k7KSqKXIVOFJqZjaYvh3pw==" spinCount="100000" sheet="1" objects="1" scenarios="1"/>
  <mergeCells count="23">
    <mergeCell ref="K17:L17"/>
    <mergeCell ref="K16:L16"/>
    <mergeCell ref="K15:L15"/>
    <mergeCell ref="K18:L18"/>
    <mergeCell ref="K14:L14"/>
    <mergeCell ref="K11:L11"/>
    <mergeCell ref="F13:G13"/>
    <mergeCell ref="K12:L12"/>
    <mergeCell ref="F12:G12"/>
    <mergeCell ref="K13:L13"/>
    <mergeCell ref="F11:G11"/>
    <mergeCell ref="E3:F3"/>
    <mergeCell ref="F17:G17"/>
    <mergeCell ref="F24:G24"/>
    <mergeCell ref="F23:G23"/>
    <mergeCell ref="F22:G22"/>
    <mergeCell ref="F20:G20"/>
    <mergeCell ref="F19:G19"/>
    <mergeCell ref="F18:G18"/>
    <mergeCell ref="F15:G15"/>
    <mergeCell ref="F14:G14"/>
    <mergeCell ref="F16:G16"/>
    <mergeCell ref="F21:G21"/>
  </mergeCells>
  <dataValidations count="4">
    <dataValidation type="list" allowBlank="1" showInputMessage="1" showErrorMessage="1" promptTitle="Age of first joining" prompt="Enter age of first joining (yearling =15mths and 2yo = 27mths)" sqref="E7" xr:uid="{00000000-0002-0000-0100-000000000000}">
      <formula1>"15,27"</formula1>
    </dataValidation>
    <dataValidation type="list" allowBlank="1" showInputMessage="1" showErrorMessage="1" prompt="Select age of first joining, either yearling (15mths) or 2yo (27mths)." sqref="E7" xr:uid="{00000000-0002-0000-0100-000001000000}">
      <formula1>"15,27"</formula1>
    </dataValidation>
    <dataValidation type="whole" allowBlank="1" showInputMessage="1" showErrorMessage="1" promptTitle="Brand # this years calves" prompt="Enter brand #0-9 for that applies to this years calves (the 'Year 1' rows)" sqref="E6:E7" xr:uid="{00000000-0002-0000-0100-000002000000}">
      <formula1>0</formula1>
      <formula2>9</formula2>
    </dataValidation>
    <dataValidation type="list" allowBlank="1" showInputMessage="1" showErrorMessage="1" promptTitle="Financial Year" prompt="Select financial year that herd numbers are being entered for" sqref="E4" xr:uid="{00000000-0002-0000-0100-000003000000}">
      <formula1>"2018,2019,2020,2021,2022"</formula1>
    </dataValidation>
  </dataValidations>
  <pageMargins left="0.7" right="0.7" top="0.75" bottom="0.75" header="0.3" footer="0.3"/>
  <pageSetup paperSize="9" scale="83" orientation="landscape" r:id="rId1"/>
  <rowBreaks count="1" manualBreakCount="1">
    <brk id="26"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Productivity" prompt="Select productivity zone based on annual weight gain of steers in 12 months after weaning._x000a_High = 150kg/yr+_x000a_Moderate = 110-150kg/yr_x000a_Low= &lt;110kg/yr" xr:uid="{00000000-0002-0000-0100-000004000000}">
          <x14:formula1>
            <xm:f>'Start here!'!$D$58:$D$60</xm:f>
          </x14:formula1>
          <xm:sqref>E5</xm:sqref>
        </x14:dataValidation>
        <x14:dataValidation type="list" allowBlank="1" showInputMessage="1" showErrorMessage="1" promptTitle="Choose percentile" prompt="Percentile values are based on analysis of past 20 years (to June 2020) of livestock prices." xr:uid="{00000000-0002-0000-0100-000005000000}">
          <x14:formula1>
            <xm:f>'Start here!'!$D$64:$D$74</xm:f>
          </x14:formula1>
          <xm:sqref>K21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54"/>
  <sheetViews>
    <sheetView showGridLines="0" topLeftCell="A14" zoomScaleNormal="100" workbookViewId="0">
      <selection activeCell="B27" sqref="B27"/>
    </sheetView>
  </sheetViews>
  <sheetFormatPr defaultColWidth="0" defaultRowHeight="14.5" zeroHeight="1" x14ac:dyDescent="0.35"/>
  <cols>
    <col min="1" max="1" width="3.453125" style="261" customWidth="1"/>
    <col min="2" max="2" width="13.453125" style="17" customWidth="1"/>
    <col min="3" max="5" width="9.54296875" style="17" customWidth="1"/>
    <col min="6" max="6" width="11.26953125" style="17" customWidth="1"/>
    <col min="7" max="7" width="10.7265625" style="17" customWidth="1"/>
    <col min="8" max="8" width="9.54296875" style="17" customWidth="1"/>
    <col min="9" max="9" width="10.26953125" style="17" customWidth="1"/>
    <col min="10" max="10" width="9.81640625" style="17" customWidth="1"/>
    <col min="11" max="14" width="9.54296875" customWidth="1"/>
    <col min="15" max="15" width="35.26953125" bestFit="1" customWidth="1"/>
    <col min="16" max="16" width="5.54296875" customWidth="1"/>
    <col min="17" max="17" width="1.7265625" customWidth="1"/>
    <col min="18" max="18" width="12" style="27" hidden="1" customWidth="1"/>
    <col min="19" max="19" width="26.81640625" style="27" hidden="1" customWidth="1"/>
    <col min="20" max="20" width="28" style="27" hidden="1" customWidth="1"/>
    <col min="21" max="31" width="11.26953125" style="27" hidden="1" customWidth="1"/>
    <col min="32" max="32" width="11.1796875" style="27" hidden="1" customWidth="1"/>
    <col min="33" max="33" width="12" style="27" hidden="1" customWidth="1"/>
    <col min="34" max="34" width="9.1796875" style="27" hidden="1" customWidth="1"/>
    <col min="35" max="35" width="12.7265625" style="27" hidden="1" customWidth="1"/>
    <col min="36" max="36" width="8.81640625" style="27" hidden="1" customWidth="1"/>
    <col min="37" max="48" width="0" style="27" hidden="1" customWidth="1"/>
    <col min="49" max="16384" width="9.1796875" style="27" hidden="1"/>
  </cols>
  <sheetData>
    <row r="1" spans="1:43" ht="18.5" x14ac:dyDescent="0.45">
      <c r="B1" s="262" t="s">
        <v>284</v>
      </c>
      <c r="K1" s="17"/>
      <c r="L1" s="17"/>
      <c r="M1" s="17"/>
      <c r="N1" s="17"/>
      <c r="O1" s="19" t="s">
        <v>135</v>
      </c>
      <c r="P1" s="434"/>
      <c r="Q1" s="17"/>
    </row>
    <row r="2" spans="1:43" ht="18.5" x14ac:dyDescent="0.45">
      <c r="B2" s="441" t="str">
        <f>'General Info'!E3&amp;" "&amp;'General Info'!E4&amp;"FY"</f>
        <v>Example 2021FY</v>
      </c>
      <c r="C2" s="19"/>
      <c r="K2" s="17"/>
      <c r="L2" s="17"/>
      <c r="M2" s="17"/>
      <c r="N2" s="17"/>
      <c r="O2" s="17" t="s">
        <v>134</v>
      </c>
      <c r="P2" s="236">
        <f>IF(H21="CHECK TRANSFERS",1,0)+IF(F22="CHECK",1,0)+IF(J22="CHECK",1,0)+(S5+S22+S39+S56+S73+S90+AH122+AH123+AH124)</f>
        <v>0</v>
      </c>
      <c r="Q2" s="17"/>
    </row>
    <row r="3" spans="1:43" ht="16" thickBot="1" x14ac:dyDescent="0.4">
      <c r="B3" s="16" t="s">
        <v>281</v>
      </c>
      <c r="E3" s="143"/>
      <c r="F3" s="143"/>
      <c r="G3" s="144"/>
      <c r="K3" s="17"/>
      <c r="L3" s="17"/>
      <c r="M3" s="17"/>
      <c r="N3" s="17"/>
      <c r="O3" s="17" t="s">
        <v>133</v>
      </c>
      <c r="P3" s="236">
        <f>SUM(Summary!O5:O20,Summary!C57:F57,Summary!C77:F77)</f>
        <v>0</v>
      </c>
      <c r="Q3" s="17"/>
    </row>
    <row r="4" spans="1:43" ht="15" thickBot="1" x14ac:dyDescent="0.4">
      <c r="B4" s="317" t="s">
        <v>100</v>
      </c>
      <c r="C4" s="452" t="s">
        <v>45</v>
      </c>
      <c r="D4" s="556" t="s">
        <v>125</v>
      </c>
      <c r="E4" s="557"/>
      <c r="F4" s="558"/>
      <c r="G4" s="561" t="s">
        <v>124</v>
      </c>
      <c r="H4" s="562"/>
      <c r="I4" s="563"/>
      <c r="J4" s="556" t="s">
        <v>123</v>
      </c>
      <c r="K4" s="557"/>
      <c r="L4" s="557"/>
      <c r="M4" s="558"/>
      <c r="O4" s="17"/>
      <c r="P4" s="17"/>
      <c r="Q4" s="17"/>
    </row>
    <row r="5" spans="1:43" ht="21.65" customHeight="1" thickBot="1" x14ac:dyDescent="0.4">
      <c r="B5" s="323"/>
      <c r="C5" s="453"/>
      <c r="D5" s="469" t="s">
        <v>184</v>
      </c>
      <c r="E5" s="470" t="s">
        <v>122</v>
      </c>
      <c r="F5" s="472" t="s">
        <v>121</v>
      </c>
      <c r="G5" s="539" t="s">
        <v>283</v>
      </c>
      <c r="H5" s="523" t="s">
        <v>120</v>
      </c>
      <c r="I5" s="524" t="s">
        <v>119</v>
      </c>
      <c r="J5" s="517" t="s">
        <v>118</v>
      </c>
      <c r="K5" s="471" t="s">
        <v>117</v>
      </c>
      <c r="L5" s="472" t="s">
        <v>116</v>
      </c>
      <c r="M5" s="473" t="s">
        <v>186</v>
      </c>
      <c r="O5" s="17"/>
      <c r="P5" s="17"/>
      <c r="Q5" s="17"/>
      <c r="S5" s="84">
        <f>IF(SUM(U6:AF20)=D77,0,1)</f>
        <v>0</v>
      </c>
      <c r="T5" s="108" t="s">
        <v>132</v>
      </c>
      <c r="U5" s="82" t="str">
        <f>$AP$6</f>
        <v>July</v>
      </c>
      <c r="V5" s="82" t="str">
        <f>$AP$7</f>
        <v>August</v>
      </c>
      <c r="W5" s="82" t="str">
        <f>$AP$8</f>
        <v>September</v>
      </c>
      <c r="X5" s="82" t="str">
        <f>$AP$9</f>
        <v>October</v>
      </c>
      <c r="Y5" s="82" t="str">
        <f>$AP$10</f>
        <v>November</v>
      </c>
      <c r="Z5" s="82" t="str">
        <f>$AP$11</f>
        <v>December</v>
      </c>
      <c r="AA5" s="82" t="str">
        <f>$AP$12</f>
        <v>January</v>
      </c>
      <c r="AB5" s="82" t="str">
        <f>$AP$13</f>
        <v>February</v>
      </c>
      <c r="AC5" s="82" t="str">
        <f>$AP$14</f>
        <v>March</v>
      </c>
      <c r="AD5" s="82" t="str">
        <f>$AP$15</f>
        <v>April</v>
      </c>
      <c r="AE5" s="82" t="str">
        <f>$AP$16</f>
        <v>May</v>
      </c>
      <c r="AF5" s="81" t="str">
        <f>$AP$17</f>
        <v>June</v>
      </c>
      <c r="AJ5" s="58" t="s">
        <v>154</v>
      </c>
      <c r="AK5" s="58" t="s">
        <v>155</v>
      </c>
      <c r="AL5" s="58" t="s">
        <v>156</v>
      </c>
      <c r="AP5" s="109" t="s">
        <v>131</v>
      </c>
      <c r="AQ5" s="27" t="s">
        <v>130</v>
      </c>
    </row>
    <row r="6" spans="1:43" x14ac:dyDescent="0.35">
      <c r="B6" s="145" t="s">
        <v>129</v>
      </c>
      <c r="C6" s="454" t="s">
        <v>23</v>
      </c>
      <c r="D6" s="340"/>
      <c r="E6" s="329"/>
      <c r="F6" s="476">
        <f t="shared" ref="F6:F20" si="0">SUMIF($B$81:$B$130,$B6,$D$81:$D$130)</f>
        <v>0</v>
      </c>
      <c r="G6" s="525"/>
      <c r="H6" s="511">
        <v>36</v>
      </c>
      <c r="I6" s="526"/>
      <c r="J6" s="518">
        <f t="shared" ref="J6:J20" si="1">SUMIF($B$27:$B$76,$B6,$D$27:$D$76)</f>
        <v>0</v>
      </c>
      <c r="K6" s="104">
        <f t="shared" ref="K6:K20" si="2">SUM(D6:H6)-SUM(I6:J6)</f>
        <v>36</v>
      </c>
      <c r="L6" s="329">
        <f t="shared" ref="L6:L20" si="3">K6-M6</f>
        <v>4</v>
      </c>
      <c r="M6" s="347">
        <v>32</v>
      </c>
      <c r="O6" s="17"/>
      <c r="P6" s="17"/>
      <c r="Q6" s="17"/>
      <c r="T6" s="119" t="str">
        <f>$B$6</f>
        <v>Speys &amp; Culls</v>
      </c>
      <c r="U6" s="120">
        <f t="shared" ref="U6:AF20" si="4">SUMIFS($D$27:$D$76,$B$27:$B$76,$T6,$F$27:$F$76,U$5)</f>
        <v>0</v>
      </c>
      <c r="V6" s="120">
        <f t="shared" si="4"/>
        <v>0</v>
      </c>
      <c r="W6" s="120">
        <f t="shared" si="4"/>
        <v>0</v>
      </c>
      <c r="X6" s="120">
        <f t="shared" si="4"/>
        <v>0</v>
      </c>
      <c r="Y6" s="120">
        <f t="shared" si="4"/>
        <v>0</v>
      </c>
      <c r="Z6" s="120">
        <f t="shared" si="4"/>
        <v>0</v>
      </c>
      <c r="AA6" s="120">
        <f t="shared" si="4"/>
        <v>0</v>
      </c>
      <c r="AB6" s="120">
        <f t="shared" si="4"/>
        <v>0</v>
      </c>
      <c r="AC6" s="120">
        <f t="shared" si="4"/>
        <v>0</v>
      </c>
      <c r="AD6" s="120">
        <f t="shared" si="4"/>
        <v>0</v>
      </c>
      <c r="AE6" s="120">
        <f t="shared" si="4"/>
        <v>0</v>
      </c>
      <c r="AF6" s="121">
        <f t="shared" si="4"/>
        <v>0</v>
      </c>
      <c r="AI6" s="127" t="str">
        <f>$B$6</f>
        <v>Speys &amp; Culls</v>
      </c>
      <c r="AJ6" s="125">
        <f ca="1">'General Info'!K46</f>
        <v>1.290739618919474</v>
      </c>
      <c r="AK6" s="128">
        <f ca="1">'General Info'!L46</f>
        <v>464.3287821476809</v>
      </c>
      <c r="AL6" s="128">
        <f ca="1">'General Info'!M46</f>
        <v>464.3287821476809</v>
      </c>
      <c r="AO6" s="27">
        <v>1</v>
      </c>
      <c r="AP6" s="185" t="s">
        <v>109</v>
      </c>
      <c r="AQ6" s="27" t="s">
        <v>128</v>
      </c>
    </row>
    <row r="7" spans="1:43" x14ac:dyDescent="0.35">
      <c r="A7" s="263"/>
      <c r="B7" s="147" t="str">
        <f>'General Info'!C46&amp;" "&amp;'General Info'!E46</f>
        <v>Females #7+</v>
      </c>
      <c r="C7" s="194" t="s">
        <v>23</v>
      </c>
      <c r="D7" s="341">
        <v>571</v>
      </c>
      <c r="E7" s="447"/>
      <c r="F7" s="478">
        <f t="shared" si="0"/>
        <v>0</v>
      </c>
      <c r="G7" s="527"/>
      <c r="H7" s="512"/>
      <c r="I7" s="528">
        <v>36</v>
      </c>
      <c r="J7" s="450">
        <f t="shared" si="1"/>
        <v>143</v>
      </c>
      <c r="K7" s="95">
        <f t="shared" si="2"/>
        <v>392</v>
      </c>
      <c r="L7" s="330">
        <f t="shared" si="3"/>
        <v>16</v>
      </c>
      <c r="M7" s="348">
        <v>376</v>
      </c>
      <c r="N7" s="474" t="str">
        <f>IF(G7&lt;=(0.02*D7)," ","Error: recoveries should not exceed 2% of opening numbers of stock class")</f>
        <v xml:space="preserve"> </v>
      </c>
      <c r="P7" s="17"/>
      <c r="Q7" s="17"/>
      <c r="T7" s="122" t="str">
        <f>$B$7</f>
        <v>Females #7+</v>
      </c>
      <c r="U7" s="123">
        <f t="shared" si="4"/>
        <v>0</v>
      </c>
      <c r="V7" s="123">
        <f t="shared" si="4"/>
        <v>0</v>
      </c>
      <c r="W7" s="123">
        <f t="shared" si="4"/>
        <v>0</v>
      </c>
      <c r="X7" s="123">
        <f t="shared" si="4"/>
        <v>0</v>
      </c>
      <c r="Y7" s="123">
        <f t="shared" si="4"/>
        <v>0</v>
      </c>
      <c r="Z7" s="123">
        <f t="shared" si="4"/>
        <v>0</v>
      </c>
      <c r="AA7" s="123">
        <f t="shared" si="4"/>
        <v>0</v>
      </c>
      <c r="AB7" s="123">
        <f t="shared" si="4"/>
        <v>0</v>
      </c>
      <c r="AC7" s="123">
        <f t="shared" si="4"/>
        <v>98</v>
      </c>
      <c r="AD7" s="123">
        <f t="shared" si="4"/>
        <v>0</v>
      </c>
      <c r="AE7" s="123">
        <f t="shared" si="4"/>
        <v>0</v>
      </c>
      <c r="AF7" s="124">
        <f t="shared" si="4"/>
        <v>45</v>
      </c>
      <c r="AI7" s="122" t="str">
        <f>$B$7</f>
        <v>Females #7+</v>
      </c>
      <c r="AJ7" s="129">
        <f ca="1">'General Info'!K46</f>
        <v>1.290739618919474</v>
      </c>
      <c r="AK7" s="130">
        <f ca="1">'General Info'!L46</f>
        <v>464.3287821476809</v>
      </c>
      <c r="AL7" s="130">
        <f ca="1">'General Info'!M46</f>
        <v>464.3287821476809</v>
      </c>
      <c r="AO7" s="27">
        <v>2</v>
      </c>
      <c r="AP7" s="186" t="s">
        <v>147</v>
      </c>
      <c r="AQ7" s="27" t="s">
        <v>128</v>
      </c>
    </row>
    <row r="8" spans="1:43" x14ac:dyDescent="0.35">
      <c r="A8" s="263"/>
      <c r="B8" s="147" t="str">
        <f>'General Info'!C47&amp;" "&amp;'General Info'!E47</f>
        <v>Females #8</v>
      </c>
      <c r="C8" s="194" t="str">
        <f>'General Info'!F47</f>
        <v>Orange</v>
      </c>
      <c r="D8" s="341">
        <v>147</v>
      </c>
      <c r="E8" s="447"/>
      <c r="F8" s="447">
        <f t="shared" si="0"/>
        <v>0</v>
      </c>
      <c r="G8" s="529">
        <v>2</v>
      </c>
      <c r="H8" s="512"/>
      <c r="I8" s="530"/>
      <c r="J8" s="450">
        <f t="shared" si="1"/>
        <v>80</v>
      </c>
      <c r="K8" s="95">
        <f t="shared" si="2"/>
        <v>69</v>
      </c>
      <c r="L8" s="330">
        <f t="shared" si="3"/>
        <v>11</v>
      </c>
      <c r="M8" s="348">
        <v>58</v>
      </c>
      <c r="N8" s="474" t="str">
        <f t="shared" ref="N8:N10" si="5">IF(G8&lt;=(0.02*D8)," ","Error: recoveries should not exceed 2% of opening numbers of stock class")</f>
        <v xml:space="preserve"> </v>
      </c>
      <c r="P8" s="17"/>
      <c r="Q8" s="17"/>
      <c r="T8" s="74" t="str">
        <f>$B$8</f>
        <v>Females #8</v>
      </c>
      <c r="U8" s="101">
        <f t="shared" si="4"/>
        <v>0</v>
      </c>
      <c r="V8" s="101">
        <f t="shared" si="4"/>
        <v>0</v>
      </c>
      <c r="W8" s="101">
        <f t="shared" si="4"/>
        <v>0</v>
      </c>
      <c r="X8" s="101">
        <f t="shared" si="4"/>
        <v>0</v>
      </c>
      <c r="Y8" s="101">
        <f t="shared" si="4"/>
        <v>0</v>
      </c>
      <c r="Z8" s="101">
        <f t="shared" si="4"/>
        <v>0</v>
      </c>
      <c r="AA8" s="101">
        <f t="shared" si="4"/>
        <v>0</v>
      </c>
      <c r="AB8" s="101">
        <f t="shared" si="4"/>
        <v>0</v>
      </c>
      <c r="AC8" s="101">
        <f t="shared" si="4"/>
        <v>0</v>
      </c>
      <c r="AD8" s="101">
        <f t="shared" si="4"/>
        <v>0</v>
      </c>
      <c r="AE8" s="101">
        <f t="shared" si="4"/>
        <v>0</v>
      </c>
      <c r="AF8" s="100">
        <f t="shared" si="4"/>
        <v>80</v>
      </c>
      <c r="AI8" s="74" t="str">
        <f>$B$8</f>
        <v>Females #8</v>
      </c>
      <c r="AJ8" s="131">
        <f ca="1">'General Info'!K47</f>
        <v>1.5557903724850199</v>
      </c>
      <c r="AK8" s="132">
        <f ca="1">'General Info'!L47</f>
        <v>402.5155323554809</v>
      </c>
      <c r="AL8" s="132">
        <f ca="1">'General Info'!M47</f>
        <v>464.3287821476809</v>
      </c>
      <c r="AO8" s="27">
        <v>3</v>
      </c>
      <c r="AP8" s="186" t="s">
        <v>92</v>
      </c>
      <c r="AQ8" s="27" t="s">
        <v>128</v>
      </c>
    </row>
    <row r="9" spans="1:43" x14ac:dyDescent="0.35">
      <c r="A9" s="263"/>
      <c r="B9" s="147" t="str">
        <f>'General Info'!C48&amp;" "&amp;'General Info'!E48</f>
        <v>Females #9</v>
      </c>
      <c r="C9" s="194" t="str">
        <f>'General Info'!F48</f>
        <v>Green</v>
      </c>
      <c r="D9" s="341">
        <v>203</v>
      </c>
      <c r="E9" s="448"/>
      <c r="F9" s="447">
        <f t="shared" si="0"/>
        <v>100</v>
      </c>
      <c r="G9" s="529"/>
      <c r="H9" s="512"/>
      <c r="I9" s="530"/>
      <c r="J9" s="450">
        <f t="shared" si="1"/>
        <v>84</v>
      </c>
      <c r="K9" s="95">
        <f t="shared" si="2"/>
        <v>219</v>
      </c>
      <c r="L9" s="330">
        <f t="shared" si="3"/>
        <v>6</v>
      </c>
      <c r="M9" s="348">
        <v>213</v>
      </c>
      <c r="N9" s="474" t="str">
        <f t="shared" si="5"/>
        <v xml:space="preserve"> </v>
      </c>
      <c r="P9" s="17"/>
      <c r="Q9" s="17"/>
      <c r="T9" s="74" t="str">
        <f>$B$9</f>
        <v>Females #9</v>
      </c>
      <c r="U9" s="101">
        <f t="shared" si="4"/>
        <v>84</v>
      </c>
      <c r="V9" s="101">
        <f t="shared" si="4"/>
        <v>0</v>
      </c>
      <c r="W9" s="101">
        <f t="shared" si="4"/>
        <v>0</v>
      </c>
      <c r="X9" s="101">
        <f t="shared" si="4"/>
        <v>0</v>
      </c>
      <c r="Y9" s="101">
        <f t="shared" si="4"/>
        <v>0</v>
      </c>
      <c r="Z9" s="101">
        <f t="shared" si="4"/>
        <v>0</v>
      </c>
      <c r="AA9" s="101">
        <f t="shared" si="4"/>
        <v>0</v>
      </c>
      <c r="AB9" s="101">
        <f t="shared" si="4"/>
        <v>0</v>
      </c>
      <c r="AC9" s="101">
        <f t="shared" si="4"/>
        <v>0</v>
      </c>
      <c r="AD9" s="101">
        <f t="shared" si="4"/>
        <v>0</v>
      </c>
      <c r="AE9" s="101">
        <f t="shared" si="4"/>
        <v>0</v>
      </c>
      <c r="AF9" s="100">
        <f t="shared" si="4"/>
        <v>0</v>
      </c>
      <c r="AI9" s="74" t="str">
        <f>$B$9</f>
        <v>Females #9</v>
      </c>
      <c r="AJ9" s="131">
        <f ca="1">'General Info'!K48</f>
        <v>1.0326086501176834</v>
      </c>
      <c r="AK9" s="132">
        <f ca="1">'General Info'!L48</f>
        <v>302.91143836221266</v>
      </c>
      <c r="AL9" s="132">
        <f ca="1">'General Info'!M48</f>
        <v>402.5155323554809</v>
      </c>
      <c r="AO9" s="27">
        <v>4</v>
      </c>
      <c r="AP9" s="186" t="s">
        <v>148</v>
      </c>
      <c r="AQ9" s="27" t="s">
        <v>128</v>
      </c>
    </row>
    <row r="10" spans="1:43" x14ac:dyDescent="0.35">
      <c r="A10" s="263"/>
      <c r="B10" s="147" t="str">
        <f>'General Info'!C49&amp;" "&amp;'General Info'!E49</f>
        <v>Females #0</v>
      </c>
      <c r="C10" s="194" t="str">
        <f>'General Info'!F49</f>
        <v>Purple</v>
      </c>
      <c r="D10" s="341">
        <v>300</v>
      </c>
      <c r="E10" s="449"/>
      <c r="F10" s="447">
        <f t="shared" si="0"/>
        <v>0</v>
      </c>
      <c r="G10" s="531"/>
      <c r="H10" s="512"/>
      <c r="I10" s="530"/>
      <c r="J10" s="450">
        <f t="shared" si="1"/>
        <v>0</v>
      </c>
      <c r="K10" s="95">
        <f t="shared" si="2"/>
        <v>300</v>
      </c>
      <c r="L10" s="330">
        <f t="shared" si="3"/>
        <v>6</v>
      </c>
      <c r="M10" s="348">
        <v>294</v>
      </c>
      <c r="N10" s="474" t="str">
        <f t="shared" si="5"/>
        <v xml:space="preserve"> </v>
      </c>
      <c r="P10" s="17"/>
      <c r="Q10" s="17"/>
      <c r="T10" s="74" t="str">
        <f>$B$10</f>
        <v>Females #0</v>
      </c>
      <c r="U10" s="101">
        <f t="shared" si="4"/>
        <v>0</v>
      </c>
      <c r="V10" s="101">
        <f t="shared" si="4"/>
        <v>0</v>
      </c>
      <c r="W10" s="101">
        <f t="shared" si="4"/>
        <v>0</v>
      </c>
      <c r="X10" s="101">
        <f t="shared" si="4"/>
        <v>0</v>
      </c>
      <c r="Y10" s="101">
        <f t="shared" si="4"/>
        <v>0</v>
      </c>
      <c r="Z10" s="101">
        <f t="shared" si="4"/>
        <v>0</v>
      </c>
      <c r="AA10" s="101">
        <f t="shared" si="4"/>
        <v>0</v>
      </c>
      <c r="AB10" s="101">
        <f t="shared" si="4"/>
        <v>0</v>
      </c>
      <c r="AC10" s="101">
        <f t="shared" si="4"/>
        <v>0</v>
      </c>
      <c r="AD10" s="101">
        <f t="shared" si="4"/>
        <v>0</v>
      </c>
      <c r="AE10" s="101">
        <f t="shared" si="4"/>
        <v>0</v>
      </c>
      <c r="AF10" s="100">
        <f t="shared" si="4"/>
        <v>0</v>
      </c>
      <c r="AI10" s="74" t="str">
        <f>$B$10</f>
        <v>Females #0</v>
      </c>
      <c r="AJ10" s="131">
        <f ca="1">'General Info'!K49</f>
        <v>0.82164113416901419</v>
      </c>
      <c r="AK10" s="132">
        <f ca="1">'General Info'!L49</f>
        <v>179.42279878454852</v>
      </c>
      <c r="AL10" s="132">
        <f ca="1">'General Info'!M49</f>
        <v>302.91143836221266</v>
      </c>
      <c r="AO10" s="27">
        <v>5</v>
      </c>
      <c r="AP10" s="186" t="s">
        <v>149</v>
      </c>
      <c r="AQ10" s="27" t="s">
        <v>128</v>
      </c>
    </row>
    <row r="11" spans="1:43" x14ac:dyDescent="0.35">
      <c r="A11" s="263"/>
      <c r="B11" s="147" t="str">
        <f>'General Info'!C50&amp;" "&amp;'General Info'!E50</f>
        <v>Females #1</v>
      </c>
      <c r="C11" s="455" t="str">
        <f>'General Info'!F50</f>
        <v>Yellow</v>
      </c>
      <c r="D11" s="341"/>
      <c r="E11" s="451"/>
      <c r="F11" s="448">
        <f t="shared" si="0"/>
        <v>0</v>
      </c>
      <c r="G11" s="532"/>
      <c r="H11" s="512">
        <v>278</v>
      </c>
      <c r="I11" s="533"/>
      <c r="J11" s="450">
        <f t="shared" si="1"/>
        <v>0</v>
      </c>
      <c r="K11" s="95">
        <f t="shared" si="2"/>
        <v>278</v>
      </c>
      <c r="L11" s="330">
        <f t="shared" si="3"/>
        <v>1</v>
      </c>
      <c r="M11" s="348">
        <v>277</v>
      </c>
      <c r="N11" s="474"/>
      <c r="P11" s="17"/>
      <c r="Q11" s="17"/>
      <c r="T11" s="71" t="str">
        <f>$B$11</f>
        <v>Females #1</v>
      </c>
      <c r="U11" s="98">
        <f t="shared" si="4"/>
        <v>0</v>
      </c>
      <c r="V11" s="98">
        <f t="shared" si="4"/>
        <v>0</v>
      </c>
      <c r="W11" s="98">
        <f t="shared" si="4"/>
        <v>0</v>
      </c>
      <c r="X11" s="98">
        <f t="shared" si="4"/>
        <v>0</v>
      </c>
      <c r="Y11" s="98">
        <f t="shared" si="4"/>
        <v>0</v>
      </c>
      <c r="Z11" s="98">
        <f t="shared" si="4"/>
        <v>0</v>
      </c>
      <c r="AA11" s="98">
        <f t="shared" si="4"/>
        <v>0</v>
      </c>
      <c r="AB11" s="98">
        <f t="shared" si="4"/>
        <v>0</v>
      </c>
      <c r="AC11" s="98">
        <f t="shared" si="4"/>
        <v>0</v>
      </c>
      <c r="AD11" s="98">
        <f t="shared" si="4"/>
        <v>0</v>
      </c>
      <c r="AE11" s="98">
        <f t="shared" si="4"/>
        <v>0</v>
      </c>
      <c r="AF11" s="97">
        <f t="shared" si="4"/>
        <v>0</v>
      </c>
      <c r="AI11" s="71" t="str">
        <f>$B$11</f>
        <v>Females #1</v>
      </c>
      <c r="AJ11" s="133"/>
      <c r="AK11" s="134">
        <f>'General Info'!L50</f>
        <v>0</v>
      </c>
      <c r="AL11" s="134">
        <f ca="1">'General Info'!M50</f>
        <v>179.42279878454852</v>
      </c>
      <c r="AO11" s="27">
        <v>6</v>
      </c>
      <c r="AP11" s="186" t="s">
        <v>150</v>
      </c>
      <c r="AQ11" s="27" t="s">
        <v>128</v>
      </c>
    </row>
    <row r="12" spans="1:43" x14ac:dyDescent="0.35">
      <c r="A12" s="263"/>
      <c r="B12" s="145" t="str">
        <f>"Mixed "&amp;'General Info'!E50</f>
        <v>Mixed #1</v>
      </c>
      <c r="C12" s="454" t="str">
        <f>C11</f>
        <v>Yellow</v>
      </c>
      <c r="D12" s="342"/>
      <c r="E12" s="345">
        <v>560</v>
      </c>
      <c r="F12" s="477">
        <f t="shared" si="0"/>
        <v>0</v>
      </c>
      <c r="G12" s="532"/>
      <c r="H12" s="513"/>
      <c r="I12" s="534">
        <v>553</v>
      </c>
      <c r="J12" s="519">
        <f t="shared" si="1"/>
        <v>0</v>
      </c>
      <c r="K12" s="103">
        <f t="shared" si="2"/>
        <v>7</v>
      </c>
      <c r="L12" s="332">
        <f t="shared" si="3"/>
        <v>7</v>
      </c>
      <c r="M12" s="102">
        <v>0</v>
      </c>
      <c r="N12" s="17" t="s">
        <v>282</v>
      </c>
      <c r="P12" s="17"/>
      <c r="Q12" s="17"/>
      <c r="T12" s="119" t="str">
        <f>$B$12</f>
        <v>Mixed #1</v>
      </c>
      <c r="U12" s="120">
        <f t="shared" si="4"/>
        <v>0</v>
      </c>
      <c r="V12" s="120">
        <f t="shared" si="4"/>
        <v>0</v>
      </c>
      <c r="W12" s="120">
        <f t="shared" si="4"/>
        <v>0</v>
      </c>
      <c r="X12" s="120">
        <f t="shared" si="4"/>
        <v>0</v>
      </c>
      <c r="Y12" s="120">
        <f t="shared" si="4"/>
        <v>0</v>
      </c>
      <c r="Z12" s="120">
        <f t="shared" si="4"/>
        <v>0</v>
      </c>
      <c r="AA12" s="120">
        <f t="shared" si="4"/>
        <v>0</v>
      </c>
      <c r="AB12" s="120">
        <f t="shared" si="4"/>
        <v>0</v>
      </c>
      <c r="AC12" s="120">
        <f t="shared" si="4"/>
        <v>0</v>
      </c>
      <c r="AD12" s="120">
        <f t="shared" si="4"/>
        <v>0</v>
      </c>
      <c r="AE12" s="120">
        <f t="shared" si="4"/>
        <v>0</v>
      </c>
      <c r="AF12" s="121">
        <f t="shared" si="4"/>
        <v>0</v>
      </c>
      <c r="AI12" s="137" t="str">
        <f>$B$12</f>
        <v>Mixed #1</v>
      </c>
      <c r="AJ12" s="138"/>
      <c r="AK12" s="139">
        <f>AVERAGE(AK11,AK16)</f>
        <v>0</v>
      </c>
      <c r="AL12" s="139">
        <f t="shared" ref="AL12" ca="1" si="6">AVERAGE(AL11,AL16)</f>
        <v>184.03091760371348</v>
      </c>
      <c r="AO12" s="27">
        <v>7</v>
      </c>
      <c r="AP12" s="186" t="s">
        <v>39</v>
      </c>
      <c r="AQ12" s="27" t="s">
        <v>127</v>
      </c>
    </row>
    <row r="13" spans="1:43" x14ac:dyDescent="0.35">
      <c r="A13" s="263"/>
      <c r="B13" s="147" t="str">
        <f>'General Info'!C51&amp;" "&amp;'General Info'!E51</f>
        <v>Steers #8+</v>
      </c>
      <c r="C13" s="194" t="s">
        <v>23</v>
      </c>
      <c r="D13" s="341"/>
      <c r="E13" s="330"/>
      <c r="F13" s="447">
        <f t="shared" si="0"/>
        <v>0</v>
      </c>
      <c r="G13" s="527"/>
      <c r="H13" s="512"/>
      <c r="I13" s="528"/>
      <c r="J13" s="450">
        <f t="shared" si="1"/>
        <v>0</v>
      </c>
      <c r="K13" s="95">
        <f t="shared" si="2"/>
        <v>0</v>
      </c>
      <c r="L13" s="330">
        <f t="shared" si="3"/>
        <v>0</v>
      </c>
      <c r="M13" s="348"/>
      <c r="N13" s="474" t="str">
        <f>IF(G13&lt;=(0.02*D13)," ","Error: recoveries should not exceed 2% of opening numbers of stock class")</f>
        <v xml:space="preserve"> </v>
      </c>
      <c r="P13" s="17"/>
      <c r="Q13" s="17"/>
      <c r="T13" s="122" t="str">
        <f>$B$13</f>
        <v>Steers #8+</v>
      </c>
      <c r="U13" s="123">
        <f t="shared" si="4"/>
        <v>0</v>
      </c>
      <c r="V13" s="123">
        <f t="shared" si="4"/>
        <v>0</v>
      </c>
      <c r="W13" s="123">
        <f t="shared" si="4"/>
        <v>0</v>
      </c>
      <c r="X13" s="123">
        <f t="shared" si="4"/>
        <v>0</v>
      </c>
      <c r="Y13" s="123">
        <f t="shared" si="4"/>
        <v>0</v>
      </c>
      <c r="Z13" s="123">
        <f t="shared" si="4"/>
        <v>0</v>
      </c>
      <c r="AA13" s="123">
        <f t="shared" si="4"/>
        <v>0</v>
      </c>
      <c r="AB13" s="123">
        <f t="shared" si="4"/>
        <v>0</v>
      </c>
      <c r="AC13" s="123">
        <f t="shared" si="4"/>
        <v>0</v>
      </c>
      <c r="AD13" s="123">
        <f t="shared" si="4"/>
        <v>0</v>
      </c>
      <c r="AE13" s="123">
        <f t="shared" si="4"/>
        <v>0</v>
      </c>
      <c r="AF13" s="124">
        <f t="shared" si="4"/>
        <v>0</v>
      </c>
      <c r="AI13" s="122" t="str">
        <f>$B$13</f>
        <v>Steers #8+</v>
      </c>
      <c r="AJ13" s="129">
        <f ca="1">'General Info'!K51</f>
        <v>1.3621110776747916</v>
      </c>
      <c r="AK13" s="130">
        <f ca="1">'General Info'!L51</f>
        <v>467.92588410154082</v>
      </c>
      <c r="AL13" s="130">
        <f ca="1">'General Info'!M51</f>
        <v>467.92588410154082</v>
      </c>
      <c r="AO13" s="27">
        <v>8</v>
      </c>
      <c r="AP13" s="186" t="s">
        <v>151</v>
      </c>
      <c r="AQ13" s="27" t="s">
        <v>127</v>
      </c>
    </row>
    <row r="14" spans="1:43" x14ac:dyDescent="0.35">
      <c r="A14" s="263"/>
      <c r="B14" s="147" t="str">
        <f>'General Info'!C52&amp;" "&amp;'General Info'!E52</f>
        <v>Steers #9</v>
      </c>
      <c r="C14" s="194" t="str">
        <f>'General Info'!F52</f>
        <v>Green</v>
      </c>
      <c r="D14" s="341">
        <v>280</v>
      </c>
      <c r="E14" s="331"/>
      <c r="F14" s="447">
        <f t="shared" si="0"/>
        <v>0</v>
      </c>
      <c r="G14" s="529"/>
      <c r="H14" s="512"/>
      <c r="I14" s="530"/>
      <c r="J14" s="450">
        <f t="shared" si="1"/>
        <v>276</v>
      </c>
      <c r="K14" s="95">
        <f t="shared" si="2"/>
        <v>4</v>
      </c>
      <c r="L14" s="330">
        <f t="shared" si="3"/>
        <v>4</v>
      </c>
      <c r="M14" s="348"/>
      <c r="N14" s="474" t="str">
        <f t="shared" ref="N14:N19" si="7">IF(G14&lt;=(0.02*D14)," ","Error: recoveries should not exceed 2% of opening numbers of stock class")</f>
        <v xml:space="preserve"> </v>
      </c>
      <c r="P14" s="17"/>
      <c r="Q14" s="17"/>
      <c r="T14" s="74" t="str">
        <f>$B$14</f>
        <v>Steers #9</v>
      </c>
      <c r="U14" s="101">
        <f t="shared" si="4"/>
        <v>0</v>
      </c>
      <c r="V14" s="101">
        <f t="shared" si="4"/>
        <v>276</v>
      </c>
      <c r="W14" s="101">
        <f t="shared" si="4"/>
        <v>0</v>
      </c>
      <c r="X14" s="101">
        <f t="shared" si="4"/>
        <v>0</v>
      </c>
      <c r="Y14" s="101">
        <f t="shared" si="4"/>
        <v>0</v>
      </c>
      <c r="Z14" s="101">
        <f t="shared" si="4"/>
        <v>0</v>
      </c>
      <c r="AA14" s="101">
        <f t="shared" si="4"/>
        <v>0</v>
      </c>
      <c r="AB14" s="101">
        <f t="shared" si="4"/>
        <v>0</v>
      </c>
      <c r="AC14" s="101">
        <f t="shared" si="4"/>
        <v>0</v>
      </c>
      <c r="AD14" s="101">
        <f t="shared" si="4"/>
        <v>0</v>
      </c>
      <c r="AE14" s="101">
        <f t="shared" si="4"/>
        <v>0</v>
      </c>
      <c r="AF14" s="100">
        <f t="shared" si="4"/>
        <v>0</v>
      </c>
      <c r="AI14" s="74" t="str">
        <f>$B$14</f>
        <v>Steers #9</v>
      </c>
      <c r="AJ14" s="131">
        <f ca="1">'General Info'!K52</f>
        <v>1.1958883488899517</v>
      </c>
      <c r="AK14" s="132">
        <f ca="1">'General Info'!L52</f>
        <v>338.79516094549348</v>
      </c>
      <c r="AL14" s="132">
        <f ca="1">'General Info'!M52</f>
        <v>467.92588410154082</v>
      </c>
      <c r="AO14" s="27">
        <v>9</v>
      </c>
      <c r="AP14" s="186" t="s">
        <v>152</v>
      </c>
      <c r="AQ14" s="27" t="s">
        <v>127</v>
      </c>
    </row>
    <row r="15" spans="1:43" x14ac:dyDescent="0.35">
      <c r="A15" s="263"/>
      <c r="B15" s="147" t="str">
        <f>'General Info'!C53&amp;" "&amp;'General Info'!E53</f>
        <v>Steers #0</v>
      </c>
      <c r="C15" s="194" t="str">
        <f>'General Info'!F53</f>
        <v>Purple</v>
      </c>
      <c r="D15" s="341">
        <v>300</v>
      </c>
      <c r="E15" s="344"/>
      <c r="F15" s="447">
        <f t="shared" si="0"/>
        <v>0</v>
      </c>
      <c r="G15" s="531"/>
      <c r="H15" s="512"/>
      <c r="I15" s="530"/>
      <c r="J15" s="450">
        <f t="shared" si="1"/>
        <v>48</v>
      </c>
      <c r="K15" s="95">
        <f t="shared" si="2"/>
        <v>252</v>
      </c>
      <c r="L15" s="330">
        <f t="shared" si="3"/>
        <v>5</v>
      </c>
      <c r="M15" s="348">
        <v>247</v>
      </c>
      <c r="N15" s="474" t="str">
        <f t="shared" si="7"/>
        <v xml:space="preserve"> </v>
      </c>
      <c r="P15" s="17"/>
      <c r="Q15" s="17"/>
      <c r="T15" s="74" t="str">
        <f>$B$15</f>
        <v>Steers #0</v>
      </c>
      <c r="U15" s="101">
        <f t="shared" si="4"/>
        <v>0</v>
      </c>
      <c r="V15" s="101">
        <f t="shared" si="4"/>
        <v>48</v>
      </c>
      <c r="W15" s="101">
        <f t="shared" si="4"/>
        <v>0</v>
      </c>
      <c r="X15" s="101">
        <f t="shared" si="4"/>
        <v>0</v>
      </c>
      <c r="Y15" s="101">
        <f t="shared" si="4"/>
        <v>0</v>
      </c>
      <c r="Z15" s="101">
        <f t="shared" si="4"/>
        <v>0</v>
      </c>
      <c r="AA15" s="101">
        <f t="shared" si="4"/>
        <v>0</v>
      </c>
      <c r="AB15" s="101">
        <f t="shared" si="4"/>
        <v>0</v>
      </c>
      <c r="AC15" s="101">
        <f t="shared" si="4"/>
        <v>0</v>
      </c>
      <c r="AD15" s="101">
        <f t="shared" si="4"/>
        <v>0</v>
      </c>
      <c r="AE15" s="101">
        <f t="shared" si="4"/>
        <v>0</v>
      </c>
      <c r="AF15" s="100">
        <f t="shared" si="4"/>
        <v>0</v>
      </c>
      <c r="AI15" s="74" t="str">
        <f>$B$15</f>
        <v>Steers #0</v>
      </c>
      <c r="AJ15" s="131">
        <f ca="1">'General Info'!K53</f>
        <v>0.90039124570899398</v>
      </c>
      <c r="AK15" s="132">
        <f ca="1">'General Info'!L53</f>
        <v>188.63903642287846</v>
      </c>
      <c r="AL15" s="132">
        <f ca="1">'General Info'!M53</f>
        <v>338.79516094549348</v>
      </c>
      <c r="AO15" s="27">
        <v>10</v>
      </c>
      <c r="AP15" s="186" t="s">
        <v>153</v>
      </c>
      <c r="AQ15" s="27" t="s">
        <v>127</v>
      </c>
    </row>
    <row r="16" spans="1:43" x14ac:dyDescent="0.35">
      <c r="A16" s="263"/>
      <c r="B16" s="150" t="str">
        <f>'General Info'!C54&amp;" "&amp;'General Info'!E54</f>
        <v>Steers #1</v>
      </c>
      <c r="C16" s="455" t="str">
        <f>'General Info'!F54</f>
        <v>Yellow</v>
      </c>
      <c r="D16" s="341"/>
      <c r="E16" s="346"/>
      <c r="F16" s="448">
        <f t="shared" si="0"/>
        <v>0</v>
      </c>
      <c r="G16" s="532"/>
      <c r="H16" s="514">
        <v>275</v>
      </c>
      <c r="I16" s="533"/>
      <c r="J16" s="520">
        <f t="shared" si="1"/>
        <v>0</v>
      </c>
      <c r="K16" s="99">
        <f t="shared" si="2"/>
        <v>275</v>
      </c>
      <c r="L16" s="331">
        <f t="shared" si="3"/>
        <v>1</v>
      </c>
      <c r="M16" s="349">
        <v>274</v>
      </c>
      <c r="N16" s="474"/>
      <c r="P16" s="17"/>
      <c r="Q16" s="17"/>
      <c r="T16" s="71" t="str">
        <f>$B$16</f>
        <v>Steers #1</v>
      </c>
      <c r="U16" s="98">
        <f t="shared" si="4"/>
        <v>0</v>
      </c>
      <c r="V16" s="98">
        <f t="shared" si="4"/>
        <v>0</v>
      </c>
      <c r="W16" s="98">
        <f t="shared" si="4"/>
        <v>0</v>
      </c>
      <c r="X16" s="98">
        <f t="shared" si="4"/>
        <v>0</v>
      </c>
      <c r="Y16" s="98">
        <f t="shared" si="4"/>
        <v>0</v>
      </c>
      <c r="Z16" s="98">
        <f t="shared" si="4"/>
        <v>0</v>
      </c>
      <c r="AA16" s="98">
        <f t="shared" si="4"/>
        <v>0</v>
      </c>
      <c r="AB16" s="98">
        <f t="shared" si="4"/>
        <v>0</v>
      </c>
      <c r="AC16" s="98">
        <f t="shared" si="4"/>
        <v>0</v>
      </c>
      <c r="AD16" s="98">
        <f t="shared" si="4"/>
        <v>0</v>
      </c>
      <c r="AE16" s="98">
        <f t="shared" si="4"/>
        <v>0</v>
      </c>
      <c r="AF16" s="97">
        <f t="shared" si="4"/>
        <v>0</v>
      </c>
      <c r="AI16" s="71" t="str">
        <f>$B$16</f>
        <v>Steers #1</v>
      </c>
      <c r="AJ16" s="133"/>
      <c r="AK16" s="134">
        <f>'General Info'!L54</f>
        <v>0</v>
      </c>
      <c r="AL16" s="134">
        <f ca="1">'General Info'!M54</f>
        <v>188.63903642287846</v>
      </c>
      <c r="AO16" s="27">
        <v>11</v>
      </c>
      <c r="AP16" s="186" t="s">
        <v>91</v>
      </c>
      <c r="AQ16" s="27" t="s">
        <v>127</v>
      </c>
    </row>
    <row r="17" spans="1:43" x14ac:dyDescent="0.35">
      <c r="A17" s="263"/>
      <c r="B17" s="151" t="str">
        <f>'General Info'!C55&amp;" "&amp;'General Info'!E55</f>
        <v>Bulls #8+</v>
      </c>
      <c r="C17" s="239" t="s">
        <v>23</v>
      </c>
      <c r="D17" s="343">
        <v>44</v>
      </c>
      <c r="E17" s="333"/>
      <c r="F17" s="478">
        <f t="shared" si="0"/>
        <v>0</v>
      </c>
      <c r="G17" s="527"/>
      <c r="H17" s="515"/>
      <c r="I17" s="528"/>
      <c r="J17" s="521">
        <f t="shared" si="1"/>
        <v>0</v>
      </c>
      <c r="K17" s="96">
        <f t="shared" si="2"/>
        <v>44</v>
      </c>
      <c r="L17" s="333">
        <f t="shared" si="3"/>
        <v>8</v>
      </c>
      <c r="M17" s="350">
        <v>36</v>
      </c>
      <c r="N17" s="474" t="str">
        <f t="shared" si="7"/>
        <v xml:space="preserve"> </v>
      </c>
      <c r="P17" s="17"/>
      <c r="Q17" s="17"/>
      <c r="T17" s="107" t="str">
        <f>$B$17</f>
        <v>Bulls #8+</v>
      </c>
      <c r="U17" s="106">
        <f t="shared" si="4"/>
        <v>0</v>
      </c>
      <c r="V17" s="106">
        <f t="shared" si="4"/>
        <v>0</v>
      </c>
      <c r="W17" s="106">
        <f t="shared" si="4"/>
        <v>0</v>
      </c>
      <c r="X17" s="106">
        <f t="shared" si="4"/>
        <v>0</v>
      </c>
      <c r="Y17" s="106">
        <f t="shared" si="4"/>
        <v>0</v>
      </c>
      <c r="Z17" s="106">
        <f t="shared" si="4"/>
        <v>0</v>
      </c>
      <c r="AA17" s="106">
        <f t="shared" si="4"/>
        <v>0</v>
      </c>
      <c r="AB17" s="106">
        <f t="shared" si="4"/>
        <v>0</v>
      </c>
      <c r="AC17" s="106">
        <f t="shared" si="4"/>
        <v>0</v>
      </c>
      <c r="AD17" s="106">
        <f t="shared" si="4"/>
        <v>0</v>
      </c>
      <c r="AE17" s="106">
        <f t="shared" si="4"/>
        <v>0</v>
      </c>
      <c r="AF17" s="105">
        <f t="shared" si="4"/>
        <v>0</v>
      </c>
      <c r="AI17" s="107" t="str">
        <f>$B$17</f>
        <v>Bulls #8+</v>
      </c>
      <c r="AJ17" s="135">
        <f ca="1">'General Info'!K55</f>
        <v>1.5744484601398487</v>
      </c>
      <c r="AK17" s="136">
        <f ca="1">'General Info'!L55</f>
        <v>690.0619372850465</v>
      </c>
      <c r="AL17" s="136">
        <f ca="1">'General Info'!M55</f>
        <v>690.0619372850465</v>
      </c>
      <c r="AO17" s="27">
        <v>12</v>
      </c>
      <c r="AP17" s="187" t="s">
        <v>110</v>
      </c>
      <c r="AQ17" s="27" t="s">
        <v>127</v>
      </c>
    </row>
    <row r="18" spans="1:43" x14ac:dyDescent="0.35">
      <c r="A18" s="263"/>
      <c r="B18" s="147" t="str">
        <f>'General Info'!C56&amp;" "&amp;'General Info'!E56</f>
        <v>Bulls #9</v>
      </c>
      <c r="C18" s="194" t="str">
        <f>'General Info'!F56</f>
        <v>Green</v>
      </c>
      <c r="D18" s="341"/>
      <c r="E18" s="331"/>
      <c r="F18" s="447">
        <f t="shared" si="0"/>
        <v>5</v>
      </c>
      <c r="G18" s="529"/>
      <c r="H18" s="512"/>
      <c r="I18" s="530"/>
      <c r="J18" s="450">
        <f t="shared" si="1"/>
        <v>0</v>
      </c>
      <c r="K18" s="95">
        <f t="shared" si="2"/>
        <v>5</v>
      </c>
      <c r="L18" s="330">
        <f t="shared" si="3"/>
        <v>0</v>
      </c>
      <c r="M18" s="348">
        <v>5</v>
      </c>
      <c r="N18" s="474" t="str">
        <f t="shared" si="7"/>
        <v xml:space="preserve"> </v>
      </c>
      <c r="P18" s="17"/>
      <c r="Q18" s="17"/>
      <c r="T18" s="74" t="str">
        <f>$B$18</f>
        <v>Bulls #9</v>
      </c>
      <c r="U18" s="101">
        <f t="shared" si="4"/>
        <v>0</v>
      </c>
      <c r="V18" s="101">
        <f t="shared" si="4"/>
        <v>0</v>
      </c>
      <c r="W18" s="101">
        <f t="shared" si="4"/>
        <v>0</v>
      </c>
      <c r="X18" s="101">
        <f t="shared" si="4"/>
        <v>0</v>
      </c>
      <c r="Y18" s="101">
        <f t="shared" si="4"/>
        <v>0</v>
      </c>
      <c r="Z18" s="101">
        <f t="shared" si="4"/>
        <v>0</v>
      </c>
      <c r="AA18" s="101">
        <f t="shared" si="4"/>
        <v>0</v>
      </c>
      <c r="AB18" s="101">
        <f t="shared" si="4"/>
        <v>0</v>
      </c>
      <c r="AC18" s="101">
        <f t="shared" si="4"/>
        <v>0</v>
      </c>
      <c r="AD18" s="101">
        <f t="shared" si="4"/>
        <v>0</v>
      </c>
      <c r="AE18" s="101">
        <f t="shared" si="4"/>
        <v>0</v>
      </c>
      <c r="AF18" s="100">
        <f t="shared" si="4"/>
        <v>0</v>
      </c>
      <c r="AI18" s="74" t="str">
        <f>$B$18</f>
        <v>Bulls #9</v>
      </c>
      <c r="AJ18" s="131">
        <f ca="1">'General Info'!K56</f>
        <v>1.4143701938222275</v>
      </c>
      <c r="AK18" s="132">
        <f ca="1">'General Info'!L56</f>
        <v>364.12849427882679</v>
      </c>
      <c r="AL18" s="132">
        <f ca="1">'General Info'!M56</f>
        <v>690.0619372850465</v>
      </c>
    </row>
    <row r="19" spans="1:43" x14ac:dyDescent="0.35">
      <c r="A19" s="263"/>
      <c r="B19" s="147" t="str">
        <f>'General Info'!C57&amp;" "&amp;'General Info'!E57</f>
        <v>Bulls #0</v>
      </c>
      <c r="C19" s="194" t="str">
        <f>'General Info'!F57</f>
        <v>Purple</v>
      </c>
      <c r="D19" s="341"/>
      <c r="E19" s="344"/>
      <c r="F19" s="447">
        <f t="shared" si="0"/>
        <v>0</v>
      </c>
      <c r="G19" s="531"/>
      <c r="H19" s="512"/>
      <c r="I19" s="530"/>
      <c r="J19" s="450">
        <f t="shared" si="1"/>
        <v>0</v>
      </c>
      <c r="K19" s="95">
        <f t="shared" si="2"/>
        <v>0</v>
      </c>
      <c r="L19" s="330">
        <f t="shared" si="3"/>
        <v>0</v>
      </c>
      <c r="M19" s="348"/>
      <c r="N19" s="474" t="str">
        <f t="shared" si="7"/>
        <v xml:space="preserve"> </v>
      </c>
      <c r="P19" s="17"/>
      <c r="Q19" s="17"/>
      <c r="T19" s="74" t="str">
        <f>$B$19</f>
        <v>Bulls #0</v>
      </c>
      <c r="U19" s="101">
        <f t="shared" si="4"/>
        <v>0</v>
      </c>
      <c r="V19" s="101">
        <f t="shared" si="4"/>
        <v>0</v>
      </c>
      <c r="W19" s="101">
        <f t="shared" si="4"/>
        <v>0</v>
      </c>
      <c r="X19" s="101">
        <f t="shared" si="4"/>
        <v>0</v>
      </c>
      <c r="Y19" s="101">
        <f t="shared" si="4"/>
        <v>0</v>
      </c>
      <c r="Z19" s="101">
        <f t="shared" si="4"/>
        <v>0</v>
      </c>
      <c r="AA19" s="101">
        <f t="shared" si="4"/>
        <v>0</v>
      </c>
      <c r="AB19" s="101">
        <f t="shared" si="4"/>
        <v>0</v>
      </c>
      <c r="AC19" s="101">
        <f t="shared" si="4"/>
        <v>0</v>
      </c>
      <c r="AD19" s="101">
        <f t="shared" si="4"/>
        <v>0</v>
      </c>
      <c r="AE19" s="101">
        <f t="shared" si="4"/>
        <v>0</v>
      </c>
      <c r="AF19" s="100">
        <f t="shared" si="4"/>
        <v>0</v>
      </c>
      <c r="AI19" s="74" t="str">
        <f>$B$19</f>
        <v>Bulls #0</v>
      </c>
      <c r="AJ19" s="131">
        <f ca="1">'General Info'!K57</f>
        <v>1.0236502452492116</v>
      </c>
      <c r="AK19" s="132">
        <f ca="1">'General Info'!L57</f>
        <v>190.99892823352016</v>
      </c>
      <c r="AL19" s="132">
        <f ca="1">'General Info'!M57</f>
        <v>364.12849427882679</v>
      </c>
    </row>
    <row r="20" spans="1:43" ht="15" thickBot="1" x14ac:dyDescent="0.4">
      <c r="A20" s="263"/>
      <c r="B20" s="153" t="str">
        <f>'General Info'!C58&amp;" "&amp;'General Info'!E58</f>
        <v>Bulls #1</v>
      </c>
      <c r="C20" s="456" t="str">
        <f>'General Info'!F58</f>
        <v>Yellow</v>
      </c>
      <c r="D20" s="457"/>
      <c r="E20" s="458"/>
      <c r="F20" s="479">
        <f t="shared" si="0"/>
        <v>0</v>
      </c>
      <c r="G20" s="535"/>
      <c r="H20" s="516"/>
      <c r="I20" s="536"/>
      <c r="J20" s="522">
        <f t="shared" si="1"/>
        <v>0</v>
      </c>
      <c r="K20" s="460">
        <f t="shared" si="2"/>
        <v>0</v>
      </c>
      <c r="L20" s="459">
        <f t="shared" si="3"/>
        <v>0</v>
      </c>
      <c r="M20" s="461"/>
      <c r="N20" s="17"/>
      <c r="P20" s="17"/>
      <c r="Q20" s="17"/>
      <c r="T20" s="71" t="str">
        <f>$B$20</f>
        <v>Bulls #1</v>
      </c>
      <c r="U20" s="98">
        <f t="shared" si="4"/>
        <v>0</v>
      </c>
      <c r="V20" s="98">
        <f t="shared" si="4"/>
        <v>0</v>
      </c>
      <c r="W20" s="98">
        <f t="shared" si="4"/>
        <v>0</v>
      </c>
      <c r="X20" s="98">
        <f t="shared" si="4"/>
        <v>0</v>
      </c>
      <c r="Y20" s="98">
        <f t="shared" si="4"/>
        <v>0</v>
      </c>
      <c r="Z20" s="98">
        <f t="shared" si="4"/>
        <v>0</v>
      </c>
      <c r="AA20" s="98">
        <f t="shared" si="4"/>
        <v>0</v>
      </c>
      <c r="AB20" s="98">
        <f t="shared" si="4"/>
        <v>0</v>
      </c>
      <c r="AC20" s="98">
        <f t="shared" si="4"/>
        <v>0</v>
      </c>
      <c r="AD20" s="98">
        <f t="shared" si="4"/>
        <v>0</v>
      </c>
      <c r="AE20" s="98">
        <f t="shared" si="4"/>
        <v>0</v>
      </c>
      <c r="AF20" s="97">
        <f t="shared" si="4"/>
        <v>0</v>
      </c>
      <c r="AI20" s="71" t="str">
        <f>$B$20</f>
        <v>Bulls #1</v>
      </c>
      <c r="AJ20" s="133">
        <f>'General Info'!K58</f>
        <v>0</v>
      </c>
      <c r="AK20" s="134">
        <f>'General Info'!L58</f>
        <v>0</v>
      </c>
      <c r="AL20" s="134">
        <f ca="1">'General Info'!M58</f>
        <v>190.99892823352016</v>
      </c>
    </row>
    <row r="21" spans="1:43" ht="15" thickBot="1" x14ac:dyDescent="0.4">
      <c r="A21" s="263"/>
      <c r="D21" s="462">
        <f>SUM(D6:D20)</f>
        <v>1845</v>
      </c>
      <c r="E21" s="463">
        <f>SUM(E6:E20)</f>
        <v>560</v>
      </c>
      <c r="F21" s="464">
        <f>SUM(F6:F20)</f>
        <v>105</v>
      </c>
      <c r="G21" s="540">
        <f>SUM(G6:G20)</f>
        <v>2</v>
      </c>
      <c r="H21" s="559" t="str">
        <f>IF(SUM(H6:H20)=SUM(I6:I20),"","CHECK TRANSFERS")</f>
        <v/>
      </c>
      <c r="I21" s="560"/>
      <c r="J21" s="465">
        <f>SUM(J6:J20)</f>
        <v>631</v>
      </c>
      <c r="K21" s="466">
        <f>SUM(K6:K20)</f>
        <v>1881</v>
      </c>
      <c r="L21" s="467">
        <f>SUM(L6:L20)</f>
        <v>69</v>
      </c>
      <c r="M21" s="468">
        <f>SUM(M6:M20)</f>
        <v>1812</v>
      </c>
      <c r="O21" s="17"/>
      <c r="P21" s="17"/>
      <c r="Q21" s="17"/>
    </row>
    <row r="22" spans="1:43" ht="15" thickBot="1" x14ac:dyDescent="0.4">
      <c r="B22" s="265"/>
      <c r="C22" s="265"/>
      <c r="F22" s="84" t="str">
        <f>IF(F21=SUM($D$81:$D$130),"","CHECK")</f>
        <v/>
      </c>
      <c r="J22" s="84" t="str">
        <f>IF(J21=SUM($D$27:$D$76),"","CHECK")</f>
        <v/>
      </c>
      <c r="K22" s="17"/>
      <c r="L22" s="17"/>
      <c r="M22" s="17"/>
      <c r="O22" s="17"/>
      <c r="P22" s="17"/>
      <c r="Q22" s="17"/>
      <c r="S22" s="84">
        <f>IF(SUM(U23:AF37)=D131,0,1)</f>
        <v>0</v>
      </c>
      <c r="T22" s="108" t="s">
        <v>126</v>
      </c>
      <c r="U22" s="82" t="str">
        <f>$U$5</f>
        <v>July</v>
      </c>
      <c r="V22" s="82" t="str">
        <f>$V$5</f>
        <v>August</v>
      </c>
      <c r="W22" s="82" t="str">
        <f>$W$5</f>
        <v>September</v>
      </c>
      <c r="X22" s="82" t="str">
        <f>$X$5</f>
        <v>October</v>
      </c>
      <c r="Y22" s="82" t="str">
        <f>$Y$5</f>
        <v>November</v>
      </c>
      <c r="Z22" s="82" t="str">
        <f>$Z$5</f>
        <v>December</v>
      </c>
      <c r="AA22" s="82" t="str">
        <f>$AA$5</f>
        <v>January</v>
      </c>
      <c r="AB22" s="82" t="str">
        <f>$AB$5</f>
        <v>February</v>
      </c>
      <c r="AC22" s="82" t="str">
        <f>$AC$5</f>
        <v>March</v>
      </c>
      <c r="AD22" s="82" t="str">
        <f>$AD$5</f>
        <v>April</v>
      </c>
      <c r="AE22" s="82" t="str">
        <f>$AE$5</f>
        <v>May</v>
      </c>
      <c r="AF22" s="81" t="str">
        <f>$AF$5</f>
        <v>June</v>
      </c>
      <c r="AI22" s="44" t="s">
        <v>157</v>
      </c>
    </row>
    <row r="23" spans="1:43" x14ac:dyDescent="0.35">
      <c r="B23" s="265"/>
      <c r="C23" s="265"/>
      <c r="D23" s="265"/>
      <c r="E23" s="266"/>
      <c r="K23" s="17"/>
      <c r="L23" s="17"/>
      <c r="M23" s="17"/>
      <c r="N23" s="17"/>
      <c r="O23" s="17"/>
      <c r="P23" s="17"/>
      <c r="Q23" s="17"/>
      <c r="T23" s="119" t="str">
        <f t="shared" ref="T23:T37" si="8">T6</f>
        <v>Speys &amp; Culls</v>
      </c>
      <c r="U23" s="120">
        <f t="shared" ref="U23:AF37" si="9">SUMIFS($D$81:$D$169,$B$81:$B$169,$T23,$F$81:$F$169,U$22)</f>
        <v>0</v>
      </c>
      <c r="V23" s="120">
        <f t="shared" si="9"/>
        <v>0</v>
      </c>
      <c r="W23" s="120">
        <f t="shared" si="9"/>
        <v>0</v>
      </c>
      <c r="X23" s="120">
        <f t="shared" si="9"/>
        <v>0</v>
      </c>
      <c r="Y23" s="120">
        <f t="shared" si="9"/>
        <v>0</v>
      </c>
      <c r="Z23" s="120">
        <f t="shared" si="9"/>
        <v>0</v>
      </c>
      <c r="AA23" s="120">
        <f t="shared" si="9"/>
        <v>0</v>
      </c>
      <c r="AB23" s="120">
        <f t="shared" si="9"/>
        <v>0</v>
      </c>
      <c r="AC23" s="120">
        <f t="shared" si="9"/>
        <v>0</v>
      </c>
      <c r="AD23" s="120">
        <f t="shared" si="9"/>
        <v>0</v>
      </c>
      <c r="AE23" s="120">
        <f t="shared" si="9"/>
        <v>0</v>
      </c>
      <c r="AF23" s="121">
        <f t="shared" si="9"/>
        <v>0</v>
      </c>
      <c r="AI23" s="27" t="s">
        <v>107</v>
      </c>
      <c r="AJ23" s="38">
        <f ca="1">SUMPRODUCT(D6:D20,AJ6:AJ20)</f>
        <v>2096.0672470309496</v>
      </c>
    </row>
    <row r="24" spans="1:43" x14ac:dyDescent="0.35">
      <c r="B24" s="265"/>
      <c r="C24" s="265"/>
      <c r="D24" s="265"/>
      <c r="E24" s="266"/>
      <c r="K24" s="17"/>
      <c r="L24" s="17"/>
      <c r="M24" s="17"/>
      <c r="N24" s="17"/>
      <c r="O24" s="17"/>
      <c r="P24" s="17"/>
      <c r="Q24" s="17"/>
      <c r="T24" s="122" t="str">
        <f t="shared" si="8"/>
        <v>Females #7+</v>
      </c>
      <c r="U24" s="123">
        <f t="shared" si="9"/>
        <v>0</v>
      </c>
      <c r="V24" s="123">
        <f t="shared" si="9"/>
        <v>0</v>
      </c>
      <c r="W24" s="123">
        <f t="shared" si="9"/>
        <v>0</v>
      </c>
      <c r="X24" s="123">
        <f t="shared" si="9"/>
        <v>0</v>
      </c>
      <c r="Y24" s="123">
        <f t="shared" si="9"/>
        <v>0</v>
      </c>
      <c r="Z24" s="123">
        <f t="shared" si="9"/>
        <v>0</v>
      </c>
      <c r="AA24" s="123">
        <f t="shared" si="9"/>
        <v>0</v>
      </c>
      <c r="AB24" s="123">
        <f t="shared" si="9"/>
        <v>0</v>
      </c>
      <c r="AC24" s="123">
        <f t="shared" si="9"/>
        <v>0</v>
      </c>
      <c r="AD24" s="123">
        <f t="shared" si="9"/>
        <v>0</v>
      </c>
      <c r="AE24" s="123">
        <f t="shared" si="9"/>
        <v>0</v>
      </c>
      <c r="AF24" s="124">
        <f t="shared" si="9"/>
        <v>0</v>
      </c>
      <c r="AI24" s="27" t="s">
        <v>106</v>
      </c>
      <c r="AJ24" s="38">
        <f ca="1">SUMPRODUCT(M6:M20,AJ6:AJ20)</f>
        <v>1364.5143752683005</v>
      </c>
      <c r="AK24" s="27" t="s">
        <v>280</v>
      </c>
    </row>
    <row r="25" spans="1:43" ht="15" thickBot="1" x14ac:dyDescent="0.4">
      <c r="B25" s="19" t="s">
        <v>114</v>
      </c>
      <c r="K25" s="17"/>
      <c r="L25" s="17"/>
      <c r="M25" s="17"/>
      <c r="N25" s="17"/>
      <c r="O25" s="17"/>
      <c r="P25" s="17"/>
      <c r="Q25" s="17"/>
      <c r="T25" s="74" t="str">
        <f t="shared" si="8"/>
        <v>Females #8</v>
      </c>
      <c r="U25" s="101">
        <f t="shared" si="9"/>
        <v>0</v>
      </c>
      <c r="V25" s="101">
        <f t="shared" si="9"/>
        <v>0</v>
      </c>
      <c r="W25" s="101">
        <f t="shared" si="9"/>
        <v>0</v>
      </c>
      <c r="X25" s="101">
        <f t="shared" si="9"/>
        <v>0</v>
      </c>
      <c r="Y25" s="101">
        <f t="shared" si="9"/>
        <v>0</v>
      </c>
      <c r="Z25" s="101">
        <f t="shared" si="9"/>
        <v>0</v>
      </c>
      <c r="AA25" s="101">
        <f t="shared" si="9"/>
        <v>0</v>
      </c>
      <c r="AB25" s="101">
        <f t="shared" si="9"/>
        <v>0</v>
      </c>
      <c r="AC25" s="101">
        <f t="shared" si="9"/>
        <v>0</v>
      </c>
      <c r="AD25" s="101">
        <f t="shared" si="9"/>
        <v>0</v>
      </c>
      <c r="AE25" s="101">
        <f t="shared" si="9"/>
        <v>0</v>
      </c>
      <c r="AF25" s="100">
        <f t="shared" si="9"/>
        <v>0</v>
      </c>
    </row>
    <row r="26" spans="1:43" ht="29" x14ac:dyDescent="0.35">
      <c r="B26" s="326" t="s">
        <v>100</v>
      </c>
      <c r="C26" s="327" t="s">
        <v>99</v>
      </c>
      <c r="D26" s="327" t="s">
        <v>98</v>
      </c>
      <c r="E26" s="327" t="s">
        <v>97</v>
      </c>
      <c r="F26" s="327" t="s">
        <v>113</v>
      </c>
      <c r="G26" s="327" t="s">
        <v>112</v>
      </c>
      <c r="H26" s="327" t="s">
        <v>111</v>
      </c>
      <c r="I26" s="327" t="s">
        <v>84</v>
      </c>
      <c r="J26" s="328" t="s">
        <v>93</v>
      </c>
      <c r="K26" s="17"/>
      <c r="L26" s="17"/>
      <c r="M26" s="17"/>
      <c r="N26" s="17"/>
      <c r="O26" s="17"/>
      <c r="P26" s="17"/>
      <c r="Q26" s="17"/>
      <c r="T26" s="74" t="str">
        <f t="shared" si="8"/>
        <v>Females #9</v>
      </c>
      <c r="U26" s="101">
        <f t="shared" si="9"/>
        <v>0</v>
      </c>
      <c r="V26" s="101">
        <f t="shared" si="9"/>
        <v>0</v>
      </c>
      <c r="W26" s="101">
        <f t="shared" si="9"/>
        <v>0</v>
      </c>
      <c r="X26" s="101">
        <f t="shared" si="9"/>
        <v>0</v>
      </c>
      <c r="Y26" s="101">
        <f t="shared" si="9"/>
        <v>0</v>
      </c>
      <c r="Z26" s="101">
        <f t="shared" si="9"/>
        <v>0</v>
      </c>
      <c r="AA26" s="101">
        <f t="shared" si="9"/>
        <v>0</v>
      </c>
      <c r="AB26" s="101">
        <f t="shared" si="9"/>
        <v>0</v>
      </c>
      <c r="AC26" s="101">
        <f t="shared" si="9"/>
        <v>0</v>
      </c>
      <c r="AD26" s="101">
        <f t="shared" si="9"/>
        <v>0</v>
      </c>
      <c r="AE26" s="101">
        <f t="shared" si="9"/>
        <v>100</v>
      </c>
      <c r="AF26" s="100">
        <f t="shared" si="9"/>
        <v>0</v>
      </c>
      <c r="AI26" s="44" t="s">
        <v>158</v>
      </c>
    </row>
    <row r="27" spans="1:43" x14ac:dyDescent="0.35">
      <c r="B27" s="356" t="s">
        <v>302</v>
      </c>
      <c r="C27" s="352"/>
      <c r="D27" s="357">
        <v>84</v>
      </c>
      <c r="E27" s="358">
        <v>320</v>
      </c>
      <c r="F27" s="352" t="s">
        <v>109</v>
      </c>
      <c r="G27" s="355">
        <v>2.33</v>
      </c>
      <c r="H27" s="334">
        <f t="shared" ref="H27:H33" si="10">IF(B27="","",E27*G27)</f>
        <v>745.6</v>
      </c>
      <c r="I27" s="334">
        <f t="shared" ref="I27:I33" si="11">IF(B27="","",D27*H27)</f>
        <v>62630.400000000001</v>
      </c>
      <c r="J27" s="335">
        <f t="shared" ref="J27:J33" si="12">IF(D27="","",D27*E27)</f>
        <v>26880</v>
      </c>
      <c r="K27" s="17"/>
      <c r="L27" s="17"/>
      <c r="M27" s="17"/>
      <c r="N27" s="17"/>
      <c r="O27" s="324" t="s">
        <v>188</v>
      </c>
      <c r="P27" s="325"/>
      <c r="Q27" s="17"/>
      <c r="T27" s="74" t="str">
        <f t="shared" si="8"/>
        <v>Females #0</v>
      </c>
      <c r="U27" s="101">
        <f t="shared" si="9"/>
        <v>0</v>
      </c>
      <c r="V27" s="101">
        <f t="shared" si="9"/>
        <v>0</v>
      </c>
      <c r="W27" s="101">
        <f t="shared" si="9"/>
        <v>0</v>
      </c>
      <c r="X27" s="101">
        <f t="shared" si="9"/>
        <v>0</v>
      </c>
      <c r="Y27" s="101">
        <f t="shared" si="9"/>
        <v>0</v>
      </c>
      <c r="Z27" s="101">
        <f t="shared" si="9"/>
        <v>0</v>
      </c>
      <c r="AA27" s="101">
        <f t="shared" si="9"/>
        <v>0</v>
      </c>
      <c r="AB27" s="101">
        <f t="shared" si="9"/>
        <v>0</v>
      </c>
      <c r="AC27" s="101">
        <f t="shared" si="9"/>
        <v>0</v>
      </c>
      <c r="AD27" s="101">
        <f t="shared" si="9"/>
        <v>0</v>
      </c>
      <c r="AE27" s="101">
        <f t="shared" si="9"/>
        <v>0</v>
      </c>
      <c r="AF27" s="100">
        <f t="shared" si="9"/>
        <v>0</v>
      </c>
      <c r="AI27" s="27" t="s">
        <v>159</v>
      </c>
      <c r="AJ27" s="38">
        <f ca="1">SUMPRODUCT(D6:D20,AK6:AK20)</f>
        <v>621436.46071761893</v>
      </c>
    </row>
    <row r="28" spans="1:43" x14ac:dyDescent="0.35">
      <c r="B28" s="356" t="s">
        <v>309</v>
      </c>
      <c r="C28" s="352"/>
      <c r="D28" s="357">
        <v>276</v>
      </c>
      <c r="E28" s="358">
        <v>420</v>
      </c>
      <c r="F28" s="352" t="s">
        <v>147</v>
      </c>
      <c r="G28" s="355">
        <v>3.6</v>
      </c>
      <c r="H28" s="334">
        <f t="shared" si="10"/>
        <v>1512</v>
      </c>
      <c r="I28" s="334">
        <f t="shared" si="11"/>
        <v>417312</v>
      </c>
      <c r="J28" s="335">
        <f t="shared" si="12"/>
        <v>115920</v>
      </c>
      <c r="K28" s="17"/>
      <c r="L28" s="17"/>
      <c r="M28" s="17"/>
      <c r="N28" s="17"/>
      <c r="O28" s="188" t="s">
        <v>189</v>
      </c>
      <c r="P28" s="189">
        <f>SUM(E10:E11,I12,E15:E16,E19:E20)</f>
        <v>553</v>
      </c>
      <c r="Q28" s="17"/>
      <c r="T28" s="71" t="str">
        <f t="shared" si="8"/>
        <v>Females #1</v>
      </c>
      <c r="U28" s="98">
        <f t="shared" si="9"/>
        <v>0</v>
      </c>
      <c r="V28" s="98">
        <f t="shared" si="9"/>
        <v>0</v>
      </c>
      <c r="W28" s="98">
        <f t="shared" si="9"/>
        <v>0</v>
      </c>
      <c r="X28" s="98">
        <f t="shared" si="9"/>
        <v>0</v>
      </c>
      <c r="Y28" s="98">
        <f t="shared" si="9"/>
        <v>0</v>
      </c>
      <c r="Z28" s="98">
        <f t="shared" si="9"/>
        <v>0</v>
      </c>
      <c r="AA28" s="98">
        <f t="shared" si="9"/>
        <v>0</v>
      </c>
      <c r="AB28" s="98">
        <f t="shared" si="9"/>
        <v>0</v>
      </c>
      <c r="AC28" s="98">
        <f t="shared" si="9"/>
        <v>0</v>
      </c>
      <c r="AD28" s="98">
        <f t="shared" si="9"/>
        <v>0</v>
      </c>
      <c r="AE28" s="98">
        <f t="shared" si="9"/>
        <v>0</v>
      </c>
      <c r="AF28" s="97">
        <f t="shared" si="9"/>
        <v>0</v>
      </c>
      <c r="AI28" s="27" t="s">
        <v>160</v>
      </c>
      <c r="AJ28" s="38">
        <f ca="1">SUMPRODUCT(M6:M20,AL6:AL20)</f>
        <v>604531.13917643961</v>
      </c>
    </row>
    <row r="29" spans="1:43" x14ac:dyDescent="0.35">
      <c r="B29" s="356" t="s">
        <v>303</v>
      </c>
      <c r="C29" s="352"/>
      <c r="D29" s="357">
        <v>48</v>
      </c>
      <c r="E29" s="358">
        <v>375</v>
      </c>
      <c r="F29" s="352" t="s">
        <v>147</v>
      </c>
      <c r="G29" s="355">
        <v>3.7</v>
      </c>
      <c r="H29" s="334">
        <f t="shared" si="10"/>
        <v>1387.5</v>
      </c>
      <c r="I29" s="334">
        <f t="shared" si="11"/>
        <v>66600</v>
      </c>
      <c r="J29" s="335">
        <f t="shared" si="12"/>
        <v>18000</v>
      </c>
      <c r="K29" s="17"/>
      <c r="L29" s="17"/>
      <c r="M29" s="17"/>
      <c r="N29" s="17"/>
      <c r="O29" s="190" t="s">
        <v>187</v>
      </c>
      <c r="P29" s="191">
        <f>SUM(D7:D8)+IF('General Info'!E7=15,D9,0)</f>
        <v>718</v>
      </c>
      <c r="Q29" s="17"/>
      <c r="T29" s="119" t="str">
        <f t="shared" si="8"/>
        <v>Mixed #1</v>
      </c>
      <c r="U29" s="120">
        <f t="shared" si="9"/>
        <v>0</v>
      </c>
      <c r="V29" s="120">
        <f t="shared" si="9"/>
        <v>0</v>
      </c>
      <c r="W29" s="120">
        <f t="shared" si="9"/>
        <v>0</v>
      </c>
      <c r="X29" s="120">
        <f t="shared" si="9"/>
        <v>0</v>
      </c>
      <c r="Y29" s="120">
        <f t="shared" si="9"/>
        <v>0</v>
      </c>
      <c r="Z29" s="120">
        <f t="shared" si="9"/>
        <v>0</v>
      </c>
      <c r="AA29" s="120">
        <f t="shared" si="9"/>
        <v>0</v>
      </c>
      <c r="AB29" s="120">
        <f t="shared" si="9"/>
        <v>0</v>
      </c>
      <c r="AC29" s="120">
        <f t="shared" si="9"/>
        <v>0</v>
      </c>
      <c r="AD29" s="120">
        <f t="shared" si="9"/>
        <v>0</v>
      </c>
      <c r="AE29" s="120">
        <f t="shared" si="9"/>
        <v>0</v>
      </c>
      <c r="AF29" s="121">
        <f t="shared" si="9"/>
        <v>0</v>
      </c>
    </row>
    <row r="30" spans="1:43" x14ac:dyDescent="0.35">
      <c r="B30" s="356" t="s">
        <v>306</v>
      </c>
      <c r="C30" s="352"/>
      <c r="D30" s="357">
        <v>98</v>
      </c>
      <c r="E30" s="358">
        <v>470</v>
      </c>
      <c r="F30" s="352" t="s">
        <v>152</v>
      </c>
      <c r="G30" s="355">
        <v>2.36</v>
      </c>
      <c r="H30" s="334">
        <f t="shared" si="10"/>
        <v>1109.2</v>
      </c>
      <c r="I30" s="334">
        <f t="shared" si="11"/>
        <v>108701.6</v>
      </c>
      <c r="J30" s="335">
        <f t="shared" si="12"/>
        <v>46060</v>
      </c>
      <c r="K30" s="17"/>
      <c r="L30" s="17"/>
      <c r="M30" s="17"/>
      <c r="N30" s="17"/>
      <c r="O30" s="192" t="s">
        <v>190</v>
      </c>
      <c r="P30" s="193">
        <f>P28/P29</f>
        <v>0.77019498607242343</v>
      </c>
      <c r="Q30" s="17"/>
      <c r="T30" s="122" t="str">
        <f t="shared" si="8"/>
        <v>Steers #8+</v>
      </c>
      <c r="U30" s="123">
        <f t="shared" si="9"/>
        <v>0</v>
      </c>
      <c r="V30" s="123">
        <f t="shared" si="9"/>
        <v>0</v>
      </c>
      <c r="W30" s="123">
        <f t="shared" si="9"/>
        <v>0</v>
      </c>
      <c r="X30" s="123">
        <f t="shared" si="9"/>
        <v>0</v>
      </c>
      <c r="Y30" s="123">
        <f t="shared" si="9"/>
        <v>0</v>
      </c>
      <c r="Z30" s="123">
        <f t="shared" si="9"/>
        <v>0</v>
      </c>
      <c r="AA30" s="123">
        <f t="shared" si="9"/>
        <v>0</v>
      </c>
      <c r="AB30" s="123">
        <f t="shared" si="9"/>
        <v>0</v>
      </c>
      <c r="AC30" s="123">
        <f t="shared" si="9"/>
        <v>0</v>
      </c>
      <c r="AD30" s="123">
        <f t="shared" si="9"/>
        <v>0</v>
      </c>
      <c r="AE30" s="123">
        <f t="shared" si="9"/>
        <v>0</v>
      </c>
      <c r="AF30" s="124">
        <f t="shared" si="9"/>
        <v>0</v>
      </c>
    </row>
    <row r="31" spans="1:43" x14ac:dyDescent="0.35">
      <c r="B31" s="356" t="s">
        <v>306</v>
      </c>
      <c r="C31" s="352"/>
      <c r="D31" s="357">
        <v>45</v>
      </c>
      <c r="E31" s="358">
        <v>465</v>
      </c>
      <c r="F31" s="352" t="s">
        <v>110</v>
      </c>
      <c r="G31" s="355">
        <v>2.1800000000000002</v>
      </c>
      <c r="H31" s="334">
        <f t="shared" si="10"/>
        <v>1013.7</v>
      </c>
      <c r="I31" s="334">
        <f t="shared" si="11"/>
        <v>45616.5</v>
      </c>
      <c r="J31" s="335">
        <f t="shared" si="12"/>
        <v>20925</v>
      </c>
      <c r="K31" s="17"/>
      <c r="L31" s="17"/>
      <c r="M31" s="17"/>
      <c r="N31" s="17"/>
      <c r="O31" s="17"/>
      <c r="P31" s="17"/>
      <c r="Q31" s="17"/>
      <c r="T31" s="74" t="str">
        <f t="shared" si="8"/>
        <v>Steers #9</v>
      </c>
      <c r="U31" s="101">
        <f t="shared" si="9"/>
        <v>0</v>
      </c>
      <c r="V31" s="101">
        <f t="shared" si="9"/>
        <v>0</v>
      </c>
      <c r="W31" s="101">
        <f t="shared" si="9"/>
        <v>0</v>
      </c>
      <c r="X31" s="101">
        <f t="shared" si="9"/>
        <v>0</v>
      </c>
      <c r="Y31" s="101">
        <f t="shared" si="9"/>
        <v>0</v>
      </c>
      <c r="Z31" s="101">
        <f t="shared" si="9"/>
        <v>0</v>
      </c>
      <c r="AA31" s="101">
        <f t="shared" si="9"/>
        <v>0</v>
      </c>
      <c r="AB31" s="101">
        <f t="shared" si="9"/>
        <v>0</v>
      </c>
      <c r="AC31" s="101">
        <f t="shared" si="9"/>
        <v>0</v>
      </c>
      <c r="AD31" s="101">
        <f t="shared" si="9"/>
        <v>0</v>
      </c>
      <c r="AE31" s="101">
        <f t="shared" si="9"/>
        <v>0</v>
      </c>
      <c r="AF31" s="100">
        <f t="shared" si="9"/>
        <v>0</v>
      </c>
    </row>
    <row r="32" spans="1:43" x14ac:dyDescent="0.35">
      <c r="B32" s="356" t="s">
        <v>308</v>
      </c>
      <c r="C32" s="352"/>
      <c r="D32" s="357">
        <v>80</v>
      </c>
      <c r="E32" s="358">
        <v>410</v>
      </c>
      <c r="F32" s="352" t="s">
        <v>110</v>
      </c>
      <c r="G32" s="355">
        <v>2.3199999999999998</v>
      </c>
      <c r="H32" s="334">
        <f t="shared" si="10"/>
        <v>951.19999999999993</v>
      </c>
      <c r="I32" s="334">
        <f t="shared" si="11"/>
        <v>76096</v>
      </c>
      <c r="J32" s="335">
        <f t="shared" si="12"/>
        <v>32800</v>
      </c>
      <c r="K32" s="17"/>
      <c r="L32" s="17"/>
      <c r="M32" s="17"/>
      <c r="N32" s="17"/>
      <c r="O32" s="17"/>
      <c r="P32" s="17"/>
      <c r="Q32" s="17"/>
      <c r="T32" s="74" t="str">
        <f t="shared" si="8"/>
        <v>Steers #0</v>
      </c>
      <c r="U32" s="101">
        <f t="shared" si="9"/>
        <v>0</v>
      </c>
      <c r="V32" s="101">
        <f t="shared" si="9"/>
        <v>0</v>
      </c>
      <c r="W32" s="101">
        <f t="shared" si="9"/>
        <v>0</v>
      </c>
      <c r="X32" s="101">
        <f t="shared" si="9"/>
        <v>0</v>
      </c>
      <c r="Y32" s="101">
        <f t="shared" si="9"/>
        <v>0</v>
      </c>
      <c r="Z32" s="101">
        <f t="shared" si="9"/>
        <v>0</v>
      </c>
      <c r="AA32" s="101">
        <f t="shared" si="9"/>
        <v>0</v>
      </c>
      <c r="AB32" s="101">
        <f t="shared" si="9"/>
        <v>0</v>
      </c>
      <c r="AC32" s="101">
        <f t="shared" si="9"/>
        <v>0</v>
      </c>
      <c r="AD32" s="101">
        <f t="shared" si="9"/>
        <v>0</v>
      </c>
      <c r="AE32" s="101">
        <f t="shared" si="9"/>
        <v>0</v>
      </c>
      <c r="AF32" s="100">
        <f t="shared" si="9"/>
        <v>0</v>
      </c>
    </row>
    <row r="33" spans="2:32" x14ac:dyDescent="0.35">
      <c r="B33" s="356"/>
      <c r="C33" s="352"/>
      <c r="D33" s="357"/>
      <c r="E33" s="358"/>
      <c r="F33" s="352"/>
      <c r="G33" s="355"/>
      <c r="H33" s="334" t="str">
        <f t="shared" si="10"/>
        <v/>
      </c>
      <c r="I33" s="334" t="str">
        <f t="shared" si="11"/>
        <v/>
      </c>
      <c r="J33" s="335" t="str">
        <f t="shared" si="12"/>
        <v/>
      </c>
      <c r="K33" s="17"/>
      <c r="L33" s="17"/>
      <c r="M33" s="17"/>
      <c r="N33" s="17"/>
      <c r="O33" s="292" t="s">
        <v>191</v>
      </c>
      <c r="P33" s="325"/>
      <c r="Q33" s="17"/>
      <c r="T33" s="71" t="str">
        <f t="shared" si="8"/>
        <v>Steers #1</v>
      </c>
      <c r="U33" s="98">
        <f t="shared" si="9"/>
        <v>0</v>
      </c>
      <c r="V33" s="98">
        <f t="shared" si="9"/>
        <v>0</v>
      </c>
      <c r="W33" s="98">
        <f t="shared" si="9"/>
        <v>0</v>
      </c>
      <c r="X33" s="98">
        <f t="shared" si="9"/>
        <v>0</v>
      </c>
      <c r="Y33" s="98">
        <f t="shared" si="9"/>
        <v>0</v>
      </c>
      <c r="Z33" s="98">
        <f t="shared" si="9"/>
        <v>0</v>
      </c>
      <c r="AA33" s="98">
        <f t="shared" si="9"/>
        <v>0</v>
      </c>
      <c r="AB33" s="98">
        <f t="shared" si="9"/>
        <v>0</v>
      </c>
      <c r="AC33" s="98">
        <f t="shared" si="9"/>
        <v>0</v>
      </c>
      <c r="AD33" s="98">
        <f t="shared" si="9"/>
        <v>0</v>
      </c>
      <c r="AE33" s="98">
        <f t="shared" si="9"/>
        <v>0</v>
      </c>
      <c r="AF33" s="97">
        <f t="shared" si="9"/>
        <v>0</v>
      </c>
    </row>
    <row r="34" spans="2:32" x14ac:dyDescent="0.35">
      <c r="B34" s="356"/>
      <c r="C34" s="352"/>
      <c r="D34" s="357"/>
      <c r="E34" s="358"/>
      <c r="F34" s="352"/>
      <c r="G34" s="355"/>
      <c r="H34" s="334" t="str">
        <f t="shared" ref="H34" si="13">IF(B34="","",E34*G34)</f>
        <v/>
      </c>
      <c r="I34" s="334" t="str">
        <f t="shared" ref="I34" si="14">IF(B34="","",D34*H34)</f>
        <v/>
      </c>
      <c r="J34" s="335" t="str">
        <f t="shared" ref="J34" si="15">IF(D34="","",D34*E34)</f>
        <v/>
      </c>
      <c r="K34" s="17"/>
      <c r="L34" s="17"/>
      <c r="M34" s="17"/>
      <c r="N34" s="17"/>
      <c r="O34" s="188" t="s">
        <v>189</v>
      </c>
      <c r="P34" s="189">
        <f>P28</f>
        <v>553</v>
      </c>
      <c r="Q34" s="17"/>
      <c r="T34" s="107" t="str">
        <f t="shared" si="8"/>
        <v>Bulls #8+</v>
      </c>
      <c r="U34" s="106">
        <f t="shared" si="9"/>
        <v>0</v>
      </c>
      <c r="V34" s="106">
        <f t="shared" si="9"/>
        <v>0</v>
      </c>
      <c r="W34" s="106">
        <f t="shared" si="9"/>
        <v>0</v>
      </c>
      <c r="X34" s="106">
        <f t="shared" si="9"/>
        <v>0</v>
      </c>
      <c r="Y34" s="106">
        <f t="shared" si="9"/>
        <v>0</v>
      </c>
      <c r="Z34" s="106">
        <f t="shared" si="9"/>
        <v>0</v>
      </c>
      <c r="AA34" s="106">
        <f t="shared" si="9"/>
        <v>0</v>
      </c>
      <c r="AB34" s="106">
        <f t="shared" si="9"/>
        <v>0</v>
      </c>
      <c r="AC34" s="106">
        <f t="shared" si="9"/>
        <v>0</v>
      </c>
      <c r="AD34" s="106">
        <f t="shared" si="9"/>
        <v>0</v>
      </c>
      <c r="AE34" s="106">
        <f t="shared" si="9"/>
        <v>0</v>
      </c>
      <c r="AF34" s="105">
        <f t="shared" si="9"/>
        <v>0</v>
      </c>
    </row>
    <row r="35" spans="2:32" x14ac:dyDescent="0.35">
      <c r="B35" s="356"/>
      <c r="C35" s="352"/>
      <c r="D35" s="357"/>
      <c r="E35" s="358"/>
      <c r="F35" s="352"/>
      <c r="G35" s="355"/>
      <c r="H35" s="334" t="str">
        <f t="shared" ref="H35:H76" si="16">IF(B35="","",E35*G35)</f>
        <v/>
      </c>
      <c r="I35" s="334" t="str">
        <f t="shared" ref="I35:I76" si="17">IF(B35="","",D35*H35)</f>
        <v/>
      </c>
      <c r="J35" s="335" t="str">
        <f t="shared" ref="J35:J76" si="18">IF(D35="","",D35*E35)</f>
        <v/>
      </c>
      <c r="K35" s="17"/>
      <c r="L35" s="17"/>
      <c r="M35" s="17"/>
      <c r="N35" s="17"/>
      <c r="O35" s="194"/>
      <c r="P35" s="195"/>
      <c r="Q35" s="17"/>
      <c r="T35" s="74" t="str">
        <f t="shared" si="8"/>
        <v>Bulls #9</v>
      </c>
      <c r="U35" s="101">
        <f t="shared" si="9"/>
        <v>0</v>
      </c>
      <c r="V35" s="101">
        <f t="shared" si="9"/>
        <v>0</v>
      </c>
      <c r="W35" s="101">
        <f t="shared" si="9"/>
        <v>5</v>
      </c>
      <c r="X35" s="101">
        <f t="shared" si="9"/>
        <v>0</v>
      </c>
      <c r="Y35" s="101">
        <f t="shared" si="9"/>
        <v>0</v>
      </c>
      <c r="Z35" s="101">
        <f t="shared" si="9"/>
        <v>0</v>
      </c>
      <c r="AA35" s="101">
        <f t="shared" si="9"/>
        <v>0</v>
      </c>
      <c r="AB35" s="101">
        <f t="shared" si="9"/>
        <v>0</v>
      </c>
      <c r="AC35" s="101">
        <f t="shared" si="9"/>
        <v>0</v>
      </c>
      <c r="AD35" s="101">
        <f t="shared" si="9"/>
        <v>0</v>
      </c>
      <c r="AE35" s="101">
        <f t="shared" si="9"/>
        <v>0</v>
      </c>
      <c r="AF35" s="100">
        <f t="shared" si="9"/>
        <v>0</v>
      </c>
    </row>
    <row r="36" spans="2:32" x14ac:dyDescent="0.35">
      <c r="B36" s="356"/>
      <c r="C36" s="352"/>
      <c r="D36" s="357"/>
      <c r="E36" s="358"/>
      <c r="F36" s="352"/>
      <c r="G36" s="355"/>
      <c r="H36" s="334" t="str">
        <f t="shared" si="16"/>
        <v/>
      </c>
      <c r="I36" s="334" t="str">
        <f t="shared" si="17"/>
        <v/>
      </c>
      <c r="J36" s="335" t="str">
        <f t="shared" si="18"/>
        <v/>
      </c>
      <c r="K36" s="17"/>
      <c r="L36" s="17"/>
      <c r="M36" s="17"/>
      <c r="N36" s="17"/>
      <c r="O36" s="194" t="s">
        <v>192</v>
      </c>
      <c r="P36" s="442">
        <v>800</v>
      </c>
      <c r="Q36" s="17"/>
      <c r="T36" s="74" t="str">
        <f t="shared" si="8"/>
        <v>Bulls #0</v>
      </c>
      <c r="U36" s="101">
        <f t="shared" si="9"/>
        <v>0</v>
      </c>
      <c r="V36" s="101">
        <f t="shared" si="9"/>
        <v>0</v>
      </c>
      <c r="W36" s="101">
        <f t="shared" si="9"/>
        <v>0</v>
      </c>
      <c r="X36" s="101">
        <f t="shared" si="9"/>
        <v>0</v>
      </c>
      <c r="Y36" s="101">
        <f t="shared" si="9"/>
        <v>0</v>
      </c>
      <c r="Z36" s="101">
        <f t="shared" si="9"/>
        <v>0</v>
      </c>
      <c r="AA36" s="101">
        <f t="shared" si="9"/>
        <v>0</v>
      </c>
      <c r="AB36" s="101">
        <f t="shared" si="9"/>
        <v>0</v>
      </c>
      <c r="AC36" s="101">
        <f t="shared" si="9"/>
        <v>0</v>
      </c>
      <c r="AD36" s="101">
        <f t="shared" si="9"/>
        <v>0</v>
      </c>
      <c r="AE36" s="101">
        <f t="shared" si="9"/>
        <v>0</v>
      </c>
      <c r="AF36" s="100">
        <f t="shared" si="9"/>
        <v>0</v>
      </c>
    </row>
    <row r="37" spans="2:32" x14ac:dyDescent="0.35">
      <c r="B37" s="356"/>
      <c r="C37" s="352"/>
      <c r="D37" s="357"/>
      <c r="E37" s="358"/>
      <c r="F37" s="352"/>
      <c r="G37" s="355"/>
      <c r="H37" s="334" t="str">
        <f t="shared" si="16"/>
        <v/>
      </c>
      <c r="I37" s="334" t="str">
        <f t="shared" si="17"/>
        <v/>
      </c>
      <c r="J37" s="335" t="str">
        <f t="shared" si="18"/>
        <v/>
      </c>
      <c r="K37" s="17"/>
      <c r="L37" s="17"/>
      <c r="M37" s="17"/>
      <c r="N37" s="17"/>
      <c r="O37" s="194" t="s">
        <v>193</v>
      </c>
      <c r="P37" s="442">
        <v>82</v>
      </c>
      <c r="Q37" s="17"/>
      <c r="T37" s="71" t="str">
        <f t="shared" si="8"/>
        <v>Bulls #1</v>
      </c>
      <c r="U37" s="98">
        <f t="shared" si="9"/>
        <v>0</v>
      </c>
      <c r="V37" s="98">
        <f t="shared" si="9"/>
        <v>0</v>
      </c>
      <c r="W37" s="98">
        <f t="shared" si="9"/>
        <v>0</v>
      </c>
      <c r="X37" s="98">
        <f t="shared" si="9"/>
        <v>0</v>
      </c>
      <c r="Y37" s="98">
        <f t="shared" si="9"/>
        <v>0</v>
      </c>
      <c r="Z37" s="98">
        <f t="shared" si="9"/>
        <v>0</v>
      </c>
      <c r="AA37" s="98">
        <f t="shared" si="9"/>
        <v>0</v>
      </c>
      <c r="AB37" s="98">
        <f t="shared" si="9"/>
        <v>0</v>
      </c>
      <c r="AC37" s="98">
        <f t="shared" si="9"/>
        <v>0</v>
      </c>
      <c r="AD37" s="98">
        <f t="shared" si="9"/>
        <v>0</v>
      </c>
      <c r="AE37" s="98">
        <f t="shared" si="9"/>
        <v>0</v>
      </c>
      <c r="AF37" s="97">
        <f t="shared" si="9"/>
        <v>0</v>
      </c>
    </row>
    <row r="38" spans="2:32" ht="15" thickBot="1" x14ac:dyDescent="0.4">
      <c r="B38" s="356"/>
      <c r="C38" s="352"/>
      <c r="D38" s="357"/>
      <c r="E38" s="358"/>
      <c r="F38" s="352"/>
      <c r="G38" s="355"/>
      <c r="H38" s="334" t="str">
        <f t="shared" si="16"/>
        <v/>
      </c>
      <c r="I38" s="334" t="str">
        <f t="shared" si="17"/>
        <v/>
      </c>
      <c r="J38" s="335" t="str">
        <f t="shared" si="18"/>
        <v/>
      </c>
      <c r="K38" s="17"/>
      <c r="L38" s="17"/>
      <c r="M38" s="17"/>
      <c r="N38" s="17"/>
      <c r="O38" s="194" t="s">
        <v>194</v>
      </c>
      <c r="P38" s="443">
        <v>0.2</v>
      </c>
      <c r="Q38" s="17"/>
    </row>
    <row r="39" spans="2:32" ht="15" thickBot="1" x14ac:dyDescent="0.4">
      <c r="B39" s="356"/>
      <c r="C39" s="352"/>
      <c r="D39" s="357"/>
      <c r="E39" s="358"/>
      <c r="F39" s="352"/>
      <c r="G39" s="355"/>
      <c r="H39" s="334" t="str">
        <f t="shared" si="16"/>
        <v/>
      </c>
      <c r="I39" s="334" t="str">
        <f t="shared" si="17"/>
        <v/>
      </c>
      <c r="J39" s="335" t="str">
        <f t="shared" si="18"/>
        <v/>
      </c>
      <c r="K39" s="17"/>
      <c r="L39" s="17"/>
      <c r="M39" s="17"/>
      <c r="N39" s="17"/>
      <c r="O39" s="194" t="s">
        <v>195</v>
      </c>
      <c r="P39" s="443">
        <v>0.05</v>
      </c>
      <c r="Q39" s="17"/>
      <c r="S39" s="84">
        <f>IF(SUM(U40:AF54)=I77,0,1)</f>
        <v>0</v>
      </c>
      <c r="T39" s="83" t="s">
        <v>115</v>
      </c>
      <c r="U39" s="82" t="str">
        <f>$U$5</f>
        <v>July</v>
      </c>
      <c r="V39" s="82" t="str">
        <f>$V$5</f>
        <v>August</v>
      </c>
      <c r="W39" s="82" t="str">
        <f>$W$5</f>
        <v>September</v>
      </c>
      <c r="X39" s="82" t="str">
        <f>$X$5</f>
        <v>October</v>
      </c>
      <c r="Y39" s="82" t="str">
        <f>$Y$5</f>
        <v>November</v>
      </c>
      <c r="Z39" s="82" t="str">
        <f>$Z$5</f>
        <v>December</v>
      </c>
      <c r="AA39" s="82" t="str">
        <f>$AA$5</f>
        <v>January</v>
      </c>
      <c r="AB39" s="82" t="str">
        <f>$AB$5</f>
        <v>February</v>
      </c>
      <c r="AC39" s="82" t="str">
        <f>$AC$5</f>
        <v>March</v>
      </c>
      <c r="AD39" s="82" t="str">
        <f>$AD$5</f>
        <v>April</v>
      </c>
      <c r="AE39" s="82" t="str">
        <f>$AE$5</f>
        <v>May</v>
      </c>
      <c r="AF39" s="81" t="str">
        <f>$AF$5</f>
        <v>June</v>
      </c>
    </row>
    <row r="40" spans="2:32" x14ac:dyDescent="0.35">
      <c r="B40" s="356"/>
      <c r="C40" s="352"/>
      <c r="D40" s="357"/>
      <c r="E40" s="358"/>
      <c r="F40" s="352"/>
      <c r="G40" s="355"/>
      <c r="H40" s="334" t="str">
        <f t="shared" si="16"/>
        <v/>
      </c>
      <c r="I40" s="334" t="str">
        <f t="shared" si="17"/>
        <v/>
      </c>
      <c r="J40" s="335" t="str">
        <f t="shared" si="18"/>
        <v/>
      </c>
      <c r="K40" s="17"/>
      <c r="L40" s="17"/>
      <c r="M40" s="17"/>
      <c r="N40" s="17"/>
      <c r="O40" s="194"/>
      <c r="P40" s="195"/>
      <c r="Q40" s="17"/>
      <c r="T40" s="74" t="str">
        <f t="shared" ref="T40:T54" si="19">T6</f>
        <v>Speys &amp; Culls</v>
      </c>
      <c r="U40" s="89">
        <f t="shared" ref="U40:AF54" si="20">SUMIFS($I$27:$I$76,$B$27:$B$76,$T40,$F$27:$F$76,U$39)</f>
        <v>0</v>
      </c>
      <c r="V40" s="89">
        <f t="shared" si="20"/>
        <v>0</v>
      </c>
      <c r="W40" s="89">
        <f t="shared" si="20"/>
        <v>0</v>
      </c>
      <c r="X40" s="89">
        <f t="shared" si="20"/>
        <v>0</v>
      </c>
      <c r="Y40" s="89">
        <f t="shared" si="20"/>
        <v>0</v>
      </c>
      <c r="Z40" s="89">
        <f t="shared" si="20"/>
        <v>0</v>
      </c>
      <c r="AA40" s="89">
        <f t="shared" si="20"/>
        <v>0</v>
      </c>
      <c r="AB40" s="89">
        <f t="shared" si="20"/>
        <v>0</v>
      </c>
      <c r="AC40" s="89">
        <f t="shared" si="20"/>
        <v>0</v>
      </c>
      <c r="AD40" s="89">
        <f t="shared" si="20"/>
        <v>0</v>
      </c>
      <c r="AE40" s="89">
        <f t="shared" si="20"/>
        <v>0</v>
      </c>
      <c r="AF40" s="88">
        <f t="shared" si="20"/>
        <v>0</v>
      </c>
    </row>
    <row r="41" spans="2:32" x14ac:dyDescent="0.35">
      <c r="B41" s="356"/>
      <c r="C41" s="352"/>
      <c r="D41" s="357"/>
      <c r="E41" s="358"/>
      <c r="F41" s="352"/>
      <c r="G41" s="355"/>
      <c r="H41" s="334" t="str">
        <f t="shared" si="16"/>
        <v/>
      </c>
      <c r="I41" s="334" t="str">
        <f t="shared" si="17"/>
        <v/>
      </c>
      <c r="J41" s="335" t="str">
        <f t="shared" si="18"/>
        <v/>
      </c>
      <c r="K41" s="17"/>
      <c r="L41" s="17"/>
      <c r="M41" s="17"/>
      <c r="N41" s="17"/>
      <c r="O41" s="194" t="s">
        <v>196</v>
      </c>
      <c r="P41" s="195">
        <f>P34+((P37*P38)*(1-P39))</f>
        <v>568.58000000000004</v>
      </c>
      <c r="Q41" s="17"/>
      <c r="T41" s="74" t="str">
        <f t="shared" si="19"/>
        <v>Females #7+</v>
      </c>
      <c r="U41" s="89">
        <f t="shared" si="20"/>
        <v>0</v>
      </c>
      <c r="V41" s="89">
        <f t="shared" si="20"/>
        <v>0</v>
      </c>
      <c r="W41" s="89">
        <f t="shared" si="20"/>
        <v>0</v>
      </c>
      <c r="X41" s="89">
        <f t="shared" si="20"/>
        <v>0</v>
      </c>
      <c r="Y41" s="89">
        <f t="shared" si="20"/>
        <v>0</v>
      </c>
      <c r="Z41" s="89">
        <f t="shared" si="20"/>
        <v>0</v>
      </c>
      <c r="AA41" s="89">
        <f t="shared" si="20"/>
        <v>0</v>
      </c>
      <c r="AB41" s="89">
        <f t="shared" si="20"/>
        <v>0</v>
      </c>
      <c r="AC41" s="89">
        <f t="shared" si="20"/>
        <v>108701.6</v>
      </c>
      <c r="AD41" s="89">
        <f t="shared" si="20"/>
        <v>0</v>
      </c>
      <c r="AE41" s="89">
        <f t="shared" si="20"/>
        <v>0</v>
      </c>
      <c r="AF41" s="88">
        <f t="shared" si="20"/>
        <v>45616.5</v>
      </c>
    </row>
    <row r="42" spans="2:32" x14ac:dyDescent="0.35">
      <c r="B42" s="356"/>
      <c r="C42" s="352"/>
      <c r="D42" s="357"/>
      <c r="E42" s="358"/>
      <c r="F42" s="352"/>
      <c r="G42" s="355"/>
      <c r="H42" s="334" t="str">
        <f t="shared" si="16"/>
        <v/>
      </c>
      <c r="I42" s="334" t="str">
        <f t="shared" si="17"/>
        <v/>
      </c>
      <c r="J42" s="335" t="str">
        <f t="shared" si="18"/>
        <v/>
      </c>
      <c r="K42" s="17"/>
      <c r="L42" s="17"/>
      <c r="M42" s="17"/>
      <c r="N42" s="17"/>
      <c r="O42" s="194" t="s">
        <v>197</v>
      </c>
      <c r="P42" s="195">
        <f>P36</f>
        <v>800</v>
      </c>
      <c r="Q42" s="17"/>
      <c r="T42" s="74" t="str">
        <f t="shared" si="19"/>
        <v>Females #8</v>
      </c>
      <c r="U42" s="89">
        <f t="shared" si="20"/>
        <v>0</v>
      </c>
      <c r="V42" s="89">
        <f t="shared" si="20"/>
        <v>0</v>
      </c>
      <c r="W42" s="89">
        <f t="shared" si="20"/>
        <v>0</v>
      </c>
      <c r="X42" s="89">
        <f t="shared" si="20"/>
        <v>0</v>
      </c>
      <c r="Y42" s="89">
        <f t="shared" si="20"/>
        <v>0</v>
      </c>
      <c r="Z42" s="89">
        <f t="shared" si="20"/>
        <v>0</v>
      </c>
      <c r="AA42" s="89">
        <f t="shared" si="20"/>
        <v>0</v>
      </c>
      <c r="AB42" s="89">
        <f t="shared" si="20"/>
        <v>0</v>
      </c>
      <c r="AC42" s="89">
        <f t="shared" si="20"/>
        <v>0</v>
      </c>
      <c r="AD42" s="89">
        <f t="shared" si="20"/>
        <v>0</v>
      </c>
      <c r="AE42" s="89">
        <f t="shared" si="20"/>
        <v>0</v>
      </c>
      <c r="AF42" s="88">
        <f t="shared" si="20"/>
        <v>76096</v>
      </c>
    </row>
    <row r="43" spans="2:32" x14ac:dyDescent="0.35">
      <c r="B43" s="356"/>
      <c r="C43" s="352"/>
      <c r="D43" s="357"/>
      <c r="E43" s="358"/>
      <c r="F43" s="352"/>
      <c r="G43" s="355"/>
      <c r="H43" s="334" t="str">
        <f t="shared" si="16"/>
        <v/>
      </c>
      <c r="I43" s="334" t="str">
        <f t="shared" si="17"/>
        <v/>
      </c>
      <c r="J43" s="335" t="str">
        <f t="shared" si="18"/>
        <v/>
      </c>
      <c r="K43" s="17"/>
      <c r="L43" s="17"/>
      <c r="M43" s="17"/>
      <c r="N43" s="17"/>
      <c r="O43" s="192" t="s">
        <v>190</v>
      </c>
      <c r="P43" s="193">
        <f>P41/P42</f>
        <v>0.71072500000000005</v>
      </c>
      <c r="Q43" s="17"/>
      <c r="T43" s="74" t="str">
        <f t="shared" si="19"/>
        <v>Females #9</v>
      </c>
      <c r="U43" s="89">
        <f t="shared" si="20"/>
        <v>62630.400000000001</v>
      </c>
      <c r="V43" s="89">
        <f t="shared" si="20"/>
        <v>0</v>
      </c>
      <c r="W43" s="89">
        <f t="shared" si="20"/>
        <v>0</v>
      </c>
      <c r="X43" s="89">
        <f t="shared" si="20"/>
        <v>0</v>
      </c>
      <c r="Y43" s="89">
        <f t="shared" si="20"/>
        <v>0</v>
      </c>
      <c r="Z43" s="89">
        <f t="shared" si="20"/>
        <v>0</v>
      </c>
      <c r="AA43" s="89">
        <f t="shared" si="20"/>
        <v>0</v>
      </c>
      <c r="AB43" s="89">
        <f t="shared" si="20"/>
        <v>0</v>
      </c>
      <c r="AC43" s="89">
        <f t="shared" si="20"/>
        <v>0</v>
      </c>
      <c r="AD43" s="89">
        <f t="shared" si="20"/>
        <v>0</v>
      </c>
      <c r="AE43" s="89">
        <f t="shared" si="20"/>
        <v>0</v>
      </c>
      <c r="AF43" s="88">
        <f t="shared" si="20"/>
        <v>0</v>
      </c>
    </row>
    <row r="44" spans="2:32" x14ac:dyDescent="0.35">
      <c r="B44" s="356"/>
      <c r="C44" s="352"/>
      <c r="D44" s="357"/>
      <c r="E44" s="358"/>
      <c r="F44" s="352"/>
      <c r="G44" s="355"/>
      <c r="H44" s="334" t="str">
        <f t="shared" si="16"/>
        <v/>
      </c>
      <c r="I44" s="334" t="str">
        <f t="shared" si="17"/>
        <v/>
      </c>
      <c r="J44" s="335" t="str">
        <f t="shared" si="18"/>
        <v/>
      </c>
      <c r="K44" s="17"/>
      <c r="L44" s="17"/>
      <c r="M44" s="17"/>
      <c r="N44" s="17"/>
      <c r="O44" s="17"/>
      <c r="P44" s="17"/>
      <c r="Q44" s="17"/>
      <c r="T44" s="74" t="str">
        <f t="shared" si="19"/>
        <v>Females #0</v>
      </c>
      <c r="U44" s="89">
        <f t="shared" si="20"/>
        <v>0</v>
      </c>
      <c r="V44" s="89">
        <f t="shared" si="20"/>
        <v>0</v>
      </c>
      <c r="W44" s="89">
        <f t="shared" si="20"/>
        <v>0</v>
      </c>
      <c r="X44" s="89">
        <f t="shared" si="20"/>
        <v>0</v>
      </c>
      <c r="Y44" s="89">
        <f t="shared" si="20"/>
        <v>0</v>
      </c>
      <c r="Z44" s="89">
        <f t="shared" si="20"/>
        <v>0</v>
      </c>
      <c r="AA44" s="89">
        <f t="shared" si="20"/>
        <v>0</v>
      </c>
      <c r="AB44" s="89">
        <f t="shared" si="20"/>
        <v>0</v>
      </c>
      <c r="AC44" s="89">
        <f t="shared" si="20"/>
        <v>0</v>
      </c>
      <c r="AD44" s="89">
        <f t="shared" si="20"/>
        <v>0</v>
      </c>
      <c r="AE44" s="89">
        <f t="shared" si="20"/>
        <v>0</v>
      </c>
      <c r="AF44" s="88">
        <f t="shared" si="20"/>
        <v>0</v>
      </c>
    </row>
    <row r="45" spans="2:32" x14ac:dyDescent="0.35">
      <c r="B45" s="356"/>
      <c r="C45" s="352"/>
      <c r="D45" s="357"/>
      <c r="E45" s="358"/>
      <c r="F45" s="352"/>
      <c r="G45" s="355"/>
      <c r="H45" s="334" t="str">
        <f t="shared" si="16"/>
        <v/>
      </c>
      <c r="I45" s="334" t="str">
        <f t="shared" si="17"/>
        <v/>
      </c>
      <c r="J45" s="335" t="str">
        <f t="shared" si="18"/>
        <v/>
      </c>
      <c r="K45" s="17"/>
      <c r="L45" s="17"/>
      <c r="M45" s="17"/>
      <c r="N45" s="17"/>
      <c r="O45" s="17"/>
      <c r="P45" s="17"/>
      <c r="Q45" s="17"/>
      <c r="T45" s="74" t="str">
        <f t="shared" si="19"/>
        <v>Females #1</v>
      </c>
      <c r="U45" s="89">
        <f t="shared" si="20"/>
        <v>0</v>
      </c>
      <c r="V45" s="89">
        <f t="shared" si="20"/>
        <v>0</v>
      </c>
      <c r="W45" s="89">
        <f t="shared" si="20"/>
        <v>0</v>
      </c>
      <c r="X45" s="89">
        <f t="shared" si="20"/>
        <v>0</v>
      </c>
      <c r="Y45" s="89">
        <f t="shared" si="20"/>
        <v>0</v>
      </c>
      <c r="Z45" s="89">
        <f t="shared" si="20"/>
        <v>0</v>
      </c>
      <c r="AA45" s="89">
        <f t="shared" si="20"/>
        <v>0</v>
      </c>
      <c r="AB45" s="89">
        <f t="shared" si="20"/>
        <v>0</v>
      </c>
      <c r="AC45" s="89">
        <f t="shared" si="20"/>
        <v>0</v>
      </c>
      <c r="AD45" s="89">
        <f t="shared" si="20"/>
        <v>0</v>
      </c>
      <c r="AE45" s="89">
        <f t="shared" si="20"/>
        <v>0</v>
      </c>
      <c r="AF45" s="88">
        <f t="shared" si="20"/>
        <v>0</v>
      </c>
    </row>
    <row r="46" spans="2:32" x14ac:dyDescent="0.35">
      <c r="B46" s="356"/>
      <c r="C46" s="352"/>
      <c r="D46" s="357"/>
      <c r="E46" s="359"/>
      <c r="F46" s="352"/>
      <c r="G46" s="355"/>
      <c r="H46" s="334" t="str">
        <f t="shared" si="16"/>
        <v/>
      </c>
      <c r="I46" s="334" t="str">
        <f t="shared" si="17"/>
        <v/>
      </c>
      <c r="J46" s="335" t="str">
        <f t="shared" si="18"/>
        <v/>
      </c>
      <c r="K46" s="17"/>
      <c r="L46" s="17"/>
      <c r="M46" s="17"/>
      <c r="N46" s="17"/>
      <c r="O46" s="17"/>
      <c r="P46" s="17"/>
      <c r="Q46" s="17"/>
      <c r="T46" s="74" t="str">
        <f t="shared" si="19"/>
        <v>Mixed #1</v>
      </c>
      <c r="U46" s="89">
        <f t="shared" si="20"/>
        <v>0</v>
      </c>
      <c r="V46" s="89">
        <f t="shared" si="20"/>
        <v>0</v>
      </c>
      <c r="W46" s="89">
        <f t="shared" si="20"/>
        <v>0</v>
      </c>
      <c r="X46" s="89">
        <f t="shared" si="20"/>
        <v>0</v>
      </c>
      <c r="Y46" s="89">
        <f t="shared" si="20"/>
        <v>0</v>
      </c>
      <c r="Z46" s="89">
        <f t="shared" si="20"/>
        <v>0</v>
      </c>
      <c r="AA46" s="89">
        <f t="shared" si="20"/>
        <v>0</v>
      </c>
      <c r="AB46" s="89">
        <f t="shared" si="20"/>
        <v>0</v>
      </c>
      <c r="AC46" s="89">
        <f t="shared" si="20"/>
        <v>0</v>
      </c>
      <c r="AD46" s="89">
        <f t="shared" si="20"/>
        <v>0</v>
      </c>
      <c r="AE46" s="89">
        <f t="shared" si="20"/>
        <v>0</v>
      </c>
      <c r="AF46" s="88">
        <f t="shared" si="20"/>
        <v>0</v>
      </c>
    </row>
    <row r="47" spans="2:32" x14ac:dyDescent="0.35">
      <c r="B47" s="356"/>
      <c r="C47" s="352"/>
      <c r="D47" s="357"/>
      <c r="E47" s="358"/>
      <c r="F47" s="352"/>
      <c r="G47" s="355"/>
      <c r="H47" s="334" t="str">
        <f t="shared" si="16"/>
        <v/>
      </c>
      <c r="I47" s="334" t="str">
        <f t="shared" si="17"/>
        <v/>
      </c>
      <c r="J47" s="335" t="str">
        <f t="shared" si="18"/>
        <v/>
      </c>
      <c r="K47" s="17"/>
      <c r="L47" s="17"/>
      <c r="M47" s="17"/>
      <c r="N47" s="17"/>
      <c r="O47" s="17"/>
      <c r="P47" s="17"/>
      <c r="Q47" s="17"/>
      <c r="T47" s="74" t="str">
        <f t="shared" si="19"/>
        <v>Steers #8+</v>
      </c>
      <c r="U47" s="89">
        <f t="shared" si="20"/>
        <v>0</v>
      </c>
      <c r="V47" s="89">
        <f t="shared" si="20"/>
        <v>0</v>
      </c>
      <c r="W47" s="89">
        <f t="shared" si="20"/>
        <v>0</v>
      </c>
      <c r="X47" s="89">
        <f t="shared" si="20"/>
        <v>0</v>
      </c>
      <c r="Y47" s="89">
        <f t="shared" si="20"/>
        <v>0</v>
      </c>
      <c r="Z47" s="89">
        <f t="shared" si="20"/>
        <v>0</v>
      </c>
      <c r="AA47" s="89">
        <f t="shared" si="20"/>
        <v>0</v>
      </c>
      <c r="AB47" s="89">
        <f t="shared" si="20"/>
        <v>0</v>
      </c>
      <c r="AC47" s="89">
        <f t="shared" si="20"/>
        <v>0</v>
      </c>
      <c r="AD47" s="89">
        <f t="shared" si="20"/>
        <v>0</v>
      </c>
      <c r="AE47" s="89">
        <f t="shared" si="20"/>
        <v>0</v>
      </c>
      <c r="AF47" s="88">
        <f t="shared" si="20"/>
        <v>0</v>
      </c>
    </row>
    <row r="48" spans="2:32" x14ac:dyDescent="0.35">
      <c r="B48" s="356"/>
      <c r="C48" s="352"/>
      <c r="D48" s="357"/>
      <c r="E48" s="358"/>
      <c r="F48" s="352"/>
      <c r="G48" s="355"/>
      <c r="H48" s="334" t="str">
        <f t="shared" si="16"/>
        <v/>
      </c>
      <c r="I48" s="334" t="str">
        <f t="shared" si="17"/>
        <v/>
      </c>
      <c r="J48" s="335" t="str">
        <f t="shared" si="18"/>
        <v/>
      </c>
      <c r="K48" s="17"/>
      <c r="L48" s="17"/>
      <c r="M48" s="17"/>
      <c r="N48" s="17"/>
      <c r="O48" s="17"/>
      <c r="P48" s="17"/>
      <c r="Q48" s="17"/>
      <c r="T48" s="74" t="str">
        <f t="shared" si="19"/>
        <v>Steers #9</v>
      </c>
      <c r="U48" s="89">
        <f t="shared" si="20"/>
        <v>0</v>
      </c>
      <c r="V48" s="89">
        <f t="shared" si="20"/>
        <v>417312</v>
      </c>
      <c r="W48" s="89">
        <f t="shared" si="20"/>
        <v>0</v>
      </c>
      <c r="X48" s="89">
        <f t="shared" si="20"/>
        <v>0</v>
      </c>
      <c r="Y48" s="89">
        <f t="shared" si="20"/>
        <v>0</v>
      </c>
      <c r="Z48" s="89">
        <f t="shared" si="20"/>
        <v>0</v>
      </c>
      <c r="AA48" s="89">
        <f t="shared" si="20"/>
        <v>0</v>
      </c>
      <c r="AB48" s="89">
        <f t="shared" si="20"/>
        <v>0</v>
      </c>
      <c r="AC48" s="89">
        <f t="shared" si="20"/>
        <v>0</v>
      </c>
      <c r="AD48" s="89">
        <f t="shared" si="20"/>
        <v>0</v>
      </c>
      <c r="AE48" s="89">
        <f t="shared" si="20"/>
        <v>0</v>
      </c>
      <c r="AF48" s="88">
        <f t="shared" si="20"/>
        <v>0</v>
      </c>
    </row>
    <row r="49" spans="2:32" x14ac:dyDescent="0.35">
      <c r="B49" s="356"/>
      <c r="C49" s="352"/>
      <c r="D49" s="357"/>
      <c r="E49" s="359"/>
      <c r="F49" s="352"/>
      <c r="G49" s="355"/>
      <c r="H49" s="334" t="str">
        <f t="shared" si="16"/>
        <v/>
      </c>
      <c r="I49" s="334" t="str">
        <f t="shared" si="17"/>
        <v/>
      </c>
      <c r="J49" s="335" t="str">
        <f t="shared" si="18"/>
        <v/>
      </c>
      <c r="K49" s="17"/>
      <c r="L49" s="17"/>
      <c r="M49" s="17"/>
      <c r="N49" s="17"/>
      <c r="O49" s="17"/>
      <c r="P49" s="17"/>
      <c r="Q49" s="17"/>
      <c r="T49" s="74" t="str">
        <f t="shared" si="19"/>
        <v>Steers #0</v>
      </c>
      <c r="U49" s="89">
        <f t="shared" si="20"/>
        <v>0</v>
      </c>
      <c r="V49" s="89">
        <f t="shared" si="20"/>
        <v>66600</v>
      </c>
      <c r="W49" s="89">
        <f t="shared" si="20"/>
        <v>0</v>
      </c>
      <c r="X49" s="89">
        <f t="shared" si="20"/>
        <v>0</v>
      </c>
      <c r="Y49" s="89">
        <f t="shared" si="20"/>
        <v>0</v>
      </c>
      <c r="Z49" s="89">
        <f t="shared" si="20"/>
        <v>0</v>
      </c>
      <c r="AA49" s="89">
        <f t="shared" si="20"/>
        <v>0</v>
      </c>
      <c r="AB49" s="89">
        <f t="shared" si="20"/>
        <v>0</v>
      </c>
      <c r="AC49" s="89">
        <f t="shared" si="20"/>
        <v>0</v>
      </c>
      <c r="AD49" s="89">
        <f t="shared" si="20"/>
        <v>0</v>
      </c>
      <c r="AE49" s="89">
        <f t="shared" si="20"/>
        <v>0</v>
      </c>
      <c r="AF49" s="88">
        <f t="shared" si="20"/>
        <v>0</v>
      </c>
    </row>
    <row r="50" spans="2:32" x14ac:dyDescent="0.35">
      <c r="B50" s="356"/>
      <c r="C50" s="352"/>
      <c r="D50" s="357"/>
      <c r="E50" s="359"/>
      <c r="F50" s="352"/>
      <c r="G50" s="355"/>
      <c r="H50" s="334" t="str">
        <f t="shared" si="16"/>
        <v/>
      </c>
      <c r="I50" s="334" t="str">
        <f t="shared" si="17"/>
        <v/>
      </c>
      <c r="J50" s="335" t="str">
        <f t="shared" si="18"/>
        <v/>
      </c>
      <c r="K50" s="17"/>
      <c r="L50" s="17"/>
      <c r="M50" s="17"/>
      <c r="N50" s="17"/>
      <c r="O50" s="17"/>
      <c r="P50" s="17"/>
      <c r="Q50" s="17"/>
      <c r="T50" s="74" t="str">
        <f t="shared" si="19"/>
        <v>Steers #1</v>
      </c>
      <c r="U50" s="89">
        <f t="shared" si="20"/>
        <v>0</v>
      </c>
      <c r="V50" s="89">
        <f t="shared" si="20"/>
        <v>0</v>
      </c>
      <c r="W50" s="89">
        <f t="shared" si="20"/>
        <v>0</v>
      </c>
      <c r="X50" s="89">
        <f t="shared" si="20"/>
        <v>0</v>
      </c>
      <c r="Y50" s="89">
        <f t="shared" si="20"/>
        <v>0</v>
      </c>
      <c r="Z50" s="89">
        <f t="shared" si="20"/>
        <v>0</v>
      </c>
      <c r="AA50" s="89">
        <f t="shared" si="20"/>
        <v>0</v>
      </c>
      <c r="AB50" s="89">
        <f t="shared" si="20"/>
        <v>0</v>
      </c>
      <c r="AC50" s="89">
        <f t="shared" si="20"/>
        <v>0</v>
      </c>
      <c r="AD50" s="89">
        <f t="shared" si="20"/>
        <v>0</v>
      </c>
      <c r="AE50" s="89">
        <f t="shared" si="20"/>
        <v>0</v>
      </c>
      <c r="AF50" s="88">
        <f t="shared" si="20"/>
        <v>0</v>
      </c>
    </row>
    <row r="51" spans="2:32" x14ac:dyDescent="0.35">
      <c r="B51" s="356"/>
      <c r="C51" s="352"/>
      <c r="D51" s="357"/>
      <c r="E51" s="358"/>
      <c r="F51" s="352"/>
      <c r="G51" s="355"/>
      <c r="H51" s="334" t="str">
        <f t="shared" si="16"/>
        <v/>
      </c>
      <c r="I51" s="334" t="str">
        <f t="shared" si="17"/>
        <v/>
      </c>
      <c r="J51" s="335" t="str">
        <f t="shared" si="18"/>
        <v/>
      </c>
      <c r="K51" s="17"/>
      <c r="L51" s="17"/>
      <c r="M51" s="17"/>
      <c r="N51" s="17"/>
      <c r="O51" s="17"/>
      <c r="P51" s="17"/>
      <c r="Q51" s="17"/>
      <c r="T51" s="74" t="str">
        <f t="shared" si="19"/>
        <v>Bulls #8+</v>
      </c>
      <c r="U51" s="89">
        <f t="shared" si="20"/>
        <v>0</v>
      </c>
      <c r="V51" s="89">
        <f t="shared" si="20"/>
        <v>0</v>
      </c>
      <c r="W51" s="89">
        <f t="shared" si="20"/>
        <v>0</v>
      </c>
      <c r="X51" s="89">
        <f t="shared" si="20"/>
        <v>0</v>
      </c>
      <c r="Y51" s="89">
        <f t="shared" si="20"/>
        <v>0</v>
      </c>
      <c r="Z51" s="89">
        <f t="shared" si="20"/>
        <v>0</v>
      </c>
      <c r="AA51" s="89">
        <f t="shared" si="20"/>
        <v>0</v>
      </c>
      <c r="AB51" s="89">
        <f t="shared" si="20"/>
        <v>0</v>
      </c>
      <c r="AC51" s="89">
        <f t="shared" si="20"/>
        <v>0</v>
      </c>
      <c r="AD51" s="89">
        <f t="shared" si="20"/>
        <v>0</v>
      </c>
      <c r="AE51" s="89">
        <f t="shared" si="20"/>
        <v>0</v>
      </c>
      <c r="AF51" s="88">
        <f t="shared" si="20"/>
        <v>0</v>
      </c>
    </row>
    <row r="52" spans="2:32" x14ac:dyDescent="0.35">
      <c r="B52" s="356"/>
      <c r="C52" s="352"/>
      <c r="D52" s="357"/>
      <c r="E52" s="358"/>
      <c r="F52" s="352"/>
      <c r="G52" s="355"/>
      <c r="H52" s="334" t="str">
        <f t="shared" si="16"/>
        <v/>
      </c>
      <c r="I52" s="334" t="str">
        <f t="shared" si="17"/>
        <v/>
      </c>
      <c r="J52" s="335" t="str">
        <f t="shared" si="18"/>
        <v/>
      </c>
      <c r="K52" s="17"/>
      <c r="L52" s="17"/>
      <c r="M52" s="17"/>
      <c r="N52" s="17"/>
      <c r="O52" s="17"/>
      <c r="P52" s="17"/>
      <c r="Q52" s="17"/>
      <c r="T52" s="74" t="str">
        <f t="shared" si="19"/>
        <v>Bulls #9</v>
      </c>
      <c r="U52" s="89">
        <f t="shared" si="20"/>
        <v>0</v>
      </c>
      <c r="V52" s="89">
        <f t="shared" si="20"/>
        <v>0</v>
      </c>
      <c r="W52" s="89">
        <f t="shared" si="20"/>
        <v>0</v>
      </c>
      <c r="X52" s="89">
        <f t="shared" si="20"/>
        <v>0</v>
      </c>
      <c r="Y52" s="89">
        <f t="shared" si="20"/>
        <v>0</v>
      </c>
      <c r="Z52" s="89">
        <f t="shared" si="20"/>
        <v>0</v>
      </c>
      <c r="AA52" s="89">
        <f t="shared" si="20"/>
        <v>0</v>
      </c>
      <c r="AB52" s="89">
        <f t="shared" si="20"/>
        <v>0</v>
      </c>
      <c r="AC52" s="89">
        <f t="shared" si="20"/>
        <v>0</v>
      </c>
      <c r="AD52" s="89">
        <f t="shared" si="20"/>
        <v>0</v>
      </c>
      <c r="AE52" s="89">
        <f t="shared" si="20"/>
        <v>0</v>
      </c>
      <c r="AF52" s="88">
        <f t="shared" si="20"/>
        <v>0</v>
      </c>
    </row>
    <row r="53" spans="2:32" x14ac:dyDescent="0.35">
      <c r="B53" s="356"/>
      <c r="C53" s="352"/>
      <c r="D53" s="357"/>
      <c r="E53" s="358"/>
      <c r="F53" s="352"/>
      <c r="G53" s="355"/>
      <c r="H53" s="334" t="str">
        <f t="shared" si="16"/>
        <v/>
      </c>
      <c r="I53" s="334" t="str">
        <f t="shared" si="17"/>
        <v/>
      </c>
      <c r="J53" s="335" t="str">
        <f t="shared" si="18"/>
        <v/>
      </c>
      <c r="K53" s="17"/>
      <c r="L53" s="17"/>
      <c r="M53" s="17"/>
      <c r="N53" s="17"/>
      <c r="O53" s="17"/>
      <c r="P53" s="17"/>
      <c r="Q53" s="17"/>
      <c r="T53" s="74" t="str">
        <f t="shared" si="19"/>
        <v>Bulls #0</v>
      </c>
      <c r="U53" s="89">
        <f t="shared" si="20"/>
        <v>0</v>
      </c>
      <c r="V53" s="89">
        <f t="shared" si="20"/>
        <v>0</v>
      </c>
      <c r="W53" s="89">
        <f t="shared" si="20"/>
        <v>0</v>
      </c>
      <c r="X53" s="89">
        <f t="shared" si="20"/>
        <v>0</v>
      </c>
      <c r="Y53" s="89">
        <f t="shared" si="20"/>
        <v>0</v>
      </c>
      <c r="Z53" s="89">
        <f t="shared" si="20"/>
        <v>0</v>
      </c>
      <c r="AA53" s="89">
        <f t="shared" si="20"/>
        <v>0</v>
      </c>
      <c r="AB53" s="89">
        <f t="shared" si="20"/>
        <v>0</v>
      </c>
      <c r="AC53" s="89">
        <f t="shared" si="20"/>
        <v>0</v>
      </c>
      <c r="AD53" s="89">
        <f t="shared" si="20"/>
        <v>0</v>
      </c>
      <c r="AE53" s="89">
        <f t="shared" si="20"/>
        <v>0</v>
      </c>
      <c r="AF53" s="88">
        <f t="shared" si="20"/>
        <v>0</v>
      </c>
    </row>
    <row r="54" spans="2:32" x14ac:dyDescent="0.35">
      <c r="B54" s="356"/>
      <c r="C54" s="352"/>
      <c r="D54" s="357"/>
      <c r="E54" s="358"/>
      <c r="F54" s="352"/>
      <c r="G54" s="355"/>
      <c r="H54" s="334" t="str">
        <f t="shared" si="16"/>
        <v/>
      </c>
      <c r="I54" s="334" t="str">
        <f t="shared" si="17"/>
        <v/>
      </c>
      <c r="J54" s="335" t="str">
        <f t="shared" si="18"/>
        <v/>
      </c>
      <c r="K54" s="17"/>
      <c r="L54" s="17"/>
      <c r="M54" s="17"/>
      <c r="N54" s="17"/>
      <c r="O54" s="17"/>
      <c r="P54" s="17"/>
      <c r="Q54" s="17"/>
      <c r="T54" s="71" t="str">
        <f t="shared" si="19"/>
        <v>Bulls #1</v>
      </c>
      <c r="U54" s="87">
        <f t="shared" si="20"/>
        <v>0</v>
      </c>
      <c r="V54" s="87">
        <f t="shared" si="20"/>
        <v>0</v>
      </c>
      <c r="W54" s="87">
        <f t="shared" si="20"/>
        <v>0</v>
      </c>
      <c r="X54" s="87">
        <f t="shared" si="20"/>
        <v>0</v>
      </c>
      <c r="Y54" s="87">
        <f t="shared" si="20"/>
        <v>0</v>
      </c>
      <c r="Z54" s="87">
        <f t="shared" si="20"/>
        <v>0</v>
      </c>
      <c r="AA54" s="87">
        <f t="shared" si="20"/>
        <v>0</v>
      </c>
      <c r="AB54" s="87">
        <f t="shared" si="20"/>
        <v>0</v>
      </c>
      <c r="AC54" s="87">
        <f t="shared" si="20"/>
        <v>0</v>
      </c>
      <c r="AD54" s="87">
        <f t="shared" si="20"/>
        <v>0</v>
      </c>
      <c r="AE54" s="87">
        <f t="shared" si="20"/>
        <v>0</v>
      </c>
      <c r="AF54" s="86">
        <f t="shared" si="20"/>
        <v>0</v>
      </c>
    </row>
    <row r="55" spans="2:32" ht="15" thickBot="1" x14ac:dyDescent="0.4">
      <c r="B55" s="356"/>
      <c r="C55" s="352"/>
      <c r="D55" s="357"/>
      <c r="E55" s="358"/>
      <c r="F55" s="352"/>
      <c r="G55" s="355"/>
      <c r="H55" s="334" t="str">
        <f t="shared" si="16"/>
        <v/>
      </c>
      <c r="I55" s="334" t="str">
        <f t="shared" si="17"/>
        <v/>
      </c>
      <c r="J55" s="335" t="str">
        <f t="shared" si="18"/>
        <v/>
      </c>
      <c r="K55" s="17"/>
      <c r="L55" s="17"/>
      <c r="M55" s="17"/>
      <c r="N55" s="17"/>
      <c r="O55" s="17"/>
      <c r="P55" s="17"/>
      <c r="Q55" s="17"/>
    </row>
    <row r="56" spans="2:32" ht="15" thickBot="1" x14ac:dyDescent="0.4">
      <c r="B56" s="356"/>
      <c r="C56" s="352"/>
      <c r="D56" s="357"/>
      <c r="E56" s="358"/>
      <c r="F56" s="352"/>
      <c r="G56" s="355"/>
      <c r="H56" s="334" t="str">
        <f t="shared" si="16"/>
        <v/>
      </c>
      <c r="I56" s="334" t="str">
        <f t="shared" si="17"/>
        <v/>
      </c>
      <c r="J56" s="335" t="str">
        <f t="shared" si="18"/>
        <v/>
      </c>
      <c r="K56" s="17"/>
      <c r="L56" s="17"/>
      <c r="M56" s="17"/>
      <c r="N56" s="17"/>
      <c r="O56" s="17"/>
      <c r="P56" s="17"/>
      <c r="Q56" s="17"/>
      <c r="S56" s="84">
        <f>IF(SUM(U57:AF71)=I131,0,1)</f>
        <v>0</v>
      </c>
      <c r="T56" s="83" t="s">
        <v>108</v>
      </c>
      <c r="U56" s="82" t="str">
        <f>$U$5</f>
        <v>July</v>
      </c>
      <c r="V56" s="82" t="str">
        <f>$V$5</f>
        <v>August</v>
      </c>
      <c r="W56" s="82" t="str">
        <f>$W$5</f>
        <v>September</v>
      </c>
      <c r="X56" s="82" t="str">
        <f>$X$5</f>
        <v>October</v>
      </c>
      <c r="Y56" s="82" t="str">
        <f>$Y$5</f>
        <v>November</v>
      </c>
      <c r="Z56" s="82" t="str">
        <f>$Z$5</f>
        <v>December</v>
      </c>
      <c r="AA56" s="82" t="str">
        <f>$AA$5</f>
        <v>January</v>
      </c>
      <c r="AB56" s="82" t="str">
        <f>$AB$5</f>
        <v>February</v>
      </c>
      <c r="AC56" s="82" t="str">
        <f>$AC$5</f>
        <v>March</v>
      </c>
      <c r="AD56" s="82" t="str">
        <f>$AD$5</f>
        <v>April</v>
      </c>
      <c r="AE56" s="82" t="str">
        <f>$AE$5</f>
        <v>May</v>
      </c>
      <c r="AF56" s="81" t="str">
        <f>$AF$5</f>
        <v>June</v>
      </c>
    </row>
    <row r="57" spans="2:32" x14ac:dyDescent="0.35">
      <c r="B57" s="356"/>
      <c r="C57" s="352"/>
      <c r="D57" s="357"/>
      <c r="E57" s="358"/>
      <c r="F57" s="352"/>
      <c r="G57" s="355"/>
      <c r="H57" s="334" t="str">
        <f t="shared" si="16"/>
        <v/>
      </c>
      <c r="I57" s="334" t="str">
        <f t="shared" si="17"/>
        <v/>
      </c>
      <c r="J57" s="335" t="str">
        <f t="shared" si="18"/>
        <v/>
      </c>
      <c r="K57" s="17"/>
      <c r="L57" s="17"/>
      <c r="M57" s="17"/>
      <c r="N57" s="17"/>
      <c r="O57" s="17"/>
      <c r="P57" s="17"/>
      <c r="Q57" s="17"/>
      <c r="T57" s="74" t="str">
        <f t="shared" ref="T57:T71" si="21">T6</f>
        <v>Speys &amp; Culls</v>
      </c>
      <c r="U57" s="89">
        <f t="shared" ref="U57:AF71" si="22">SUMIFS($I$81:$I$130,$B$81:$B$130,$T57,$F$81:$F$130,U$56)</f>
        <v>0</v>
      </c>
      <c r="V57" s="89">
        <f t="shared" si="22"/>
        <v>0</v>
      </c>
      <c r="W57" s="89">
        <f t="shared" si="22"/>
        <v>0</v>
      </c>
      <c r="X57" s="89">
        <f t="shared" si="22"/>
        <v>0</v>
      </c>
      <c r="Y57" s="89">
        <f t="shared" si="22"/>
        <v>0</v>
      </c>
      <c r="Z57" s="89">
        <f t="shared" si="22"/>
        <v>0</v>
      </c>
      <c r="AA57" s="89">
        <f t="shared" si="22"/>
        <v>0</v>
      </c>
      <c r="AB57" s="89">
        <f t="shared" si="22"/>
        <v>0</v>
      </c>
      <c r="AC57" s="89">
        <f t="shared" si="22"/>
        <v>0</v>
      </c>
      <c r="AD57" s="89">
        <f t="shared" si="22"/>
        <v>0</v>
      </c>
      <c r="AE57" s="89">
        <f t="shared" si="22"/>
        <v>0</v>
      </c>
      <c r="AF57" s="88">
        <f t="shared" si="22"/>
        <v>0</v>
      </c>
    </row>
    <row r="58" spans="2:32" x14ac:dyDescent="0.35">
      <c r="B58" s="356"/>
      <c r="C58" s="352"/>
      <c r="D58" s="357"/>
      <c r="E58" s="358"/>
      <c r="F58" s="352"/>
      <c r="G58" s="355"/>
      <c r="H58" s="334" t="str">
        <f t="shared" si="16"/>
        <v/>
      </c>
      <c r="I58" s="334" t="str">
        <f t="shared" si="17"/>
        <v/>
      </c>
      <c r="J58" s="335" t="str">
        <f t="shared" si="18"/>
        <v/>
      </c>
      <c r="K58" s="17"/>
      <c r="L58" s="17"/>
      <c r="M58" s="17"/>
      <c r="N58" s="17"/>
      <c r="O58" s="17"/>
      <c r="P58" s="17"/>
      <c r="Q58" s="17"/>
      <c r="T58" s="74" t="str">
        <f t="shared" si="21"/>
        <v>Females #7+</v>
      </c>
      <c r="U58" s="89">
        <f t="shared" si="22"/>
        <v>0</v>
      </c>
      <c r="V58" s="89">
        <f t="shared" si="22"/>
        <v>0</v>
      </c>
      <c r="W58" s="89">
        <f t="shared" si="22"/>
        <v>0</v>
      </c>
      <c r="X58" s="89">
        <f t="shared" si="22"/>
        <v>0</v>
      </c>
      <c r="Y58" s="89">
        <f t="shared" si="22"/>
        <v>0</v>
      </c>
      <c r="Z58" s="89">
        <f t="shared" si="22"/>
        <v>0</v>
      </c>
      <c r="AA58" s="89">
        <f t="shared" si="22"/>
        <v>0</v>
      </c>
      <c r="AB58" s="89">
        <f t="shared" si="22"/>
        <v>0</v>
      </c>
      <c r="AC58" s="89">
        <f t="shared" si="22"/>
        <v>0</v>
      </c>
      <c r="AD58" s="89">
        <f t="shared" si="22"/>
        <v>0</v>
      </c>
      <c r="AE58" s="89">
        <f t="shared" si="22"/>
        <v>0</v>
      </c>
      <c r="AF58" s="88">
        <f t="shared" si="22"/>
        <v>0</v>
      </c>
    </row>
    <row r="59" spans="2:32" x14ac:dyDescent="0.35">
      <c r="B59" s="356"/>
      <c r="C59" s="352"/>
      <c r="D59" s="357"/>
      <c r="E59" s="358"/>
      <c r="F59" s="352"/>
      <c r="G59" s="355"/>
      <c r="H59" s="334" t="str">
        <f t="shared" si="16"/>
        <v/>
      </c>
      <c r="I59" s="334" t="str">
        <f t="shared" si="17"/>
        <v/>
      </c>
      <c r="J59" s="335" t="str">
        <f t="shared" si="18"/>
        <v/>
      </c>
      <c r="K59" s="17"/>
      <c r="L59" s="17"/>
      <c r="M59" s="17"/>
      <c r="N59" s="17"/>
      <c r="O59" s="17"/>
      <c r="P59" s="17"/>
      <c r="Q59" s="17"/>
      <c r="T59" s="74" t="str">
        <f t="shared" si="21"/>
        <v>Females #8</v>
      </c>
      <c r="U59" s="89">
        <f t="shared" si="22"/>
        <v>0</v>
      </c>
      <c r="V59" s="89">
        <f t="shared" si="22"/>
        <v>0</v>
      </c>
      <c r="W59" s="89">
        <f t="shared" si="22"/>
        <v>0</v>
      </c>
      <c r="X59" s="89">
        <f t="shared" si="22"/>
        <v>0</v>
      </c>
      <c r="Y59" s="89">
        <f t="shared" si="22"/>
        <v>0</v>
      </c>
      <c r="Z59" s="89">
        <f t="shared" si="22"/>
        <v>0</v>
      </c>
      <c r="AA59" s="89">
        <f t="shared" si="22"/>
        <v>0</v>
      </c>
      <c r="AB59" s="89">
        <f t="shared" si="22"/>
        <v>0</v>
      </c>
      <c r="AC59" s="89">
        <f t="shared" si="22"/>
        <v>0</v>
      </c>
      <c r="AD59" s="89">
        <f t="shared" si="22"/>
        <v>0</v>
      </c>
      <c r="AE59" s="89">
        <f t="shared" si="22"/>
        <v>0</v>
      </c>
      <c r="AF59" s="88">
        <f t="shared" si="22"/>
        <v>0</v>
      </c>
    </row>
    <row r="60" spans="2:32" x14ac:dyDescent="0.35">
      <c r="B60" s="356"/>
      <c r="C60" s="352"/>
      <c r="D60" s="357"/>
      <c r="E60" s="358"/>
      <c r="F60" s="352"/>
      <c r="G60" s="355"/>
      <c r="H60" s="334" t="str">
        <f t="shared" si="16"/>
        <v/>
      </c>
      <c r="I60" s="334" t="str">
        <f t="shared" si="17"/>
        <v/>
      </c>
      <c r="J60" s="335" t="str">
        <f t="shared" si="18"/>
        <v/>
      </c>
      <c r="K60" s="17"/>
      <c r="L60" s="17"/>
      <c r="M60" s="17"/>
      <c r="N60" s="17"/>
      <c r="O60" s="17"/>
      <c r="P60" s="17"/>
      <c r="Q60" s="17"/>
      <c r="T60" s="74" t="str">
        <f t="shared" si="21"/>
        <v>Females #9</v>
      </c>
      <c r="U60" s="89">
        <f t="shared" si="22"/>
        <v>0</v>
      </c>
      <c r="V60" s="89">
        <f t="shared" si="22"/>
        <v>0</v>
      </c>
      <c r="W60" s="89">
        <f t="shared" si="22"/>
        <v>0</v>
      </c>
      <c r="X60" s="89">
        <f t="shared" si="22"/>
        <v>0</v>
      </c>
      <c r="Y60" s="89">
        <f t="shared" si="22"/>
        <v>0</v>
      </c>
      <c r="Z60" s="89">
        <f t="shared" si="22"/>
        <v>0</v>
      </c>
      <c r="AA60" s="89">
        <f t="shared" si="22"/>
        <v>0</v>
      </c>
      <c r="AB60" s="89">
        <f t="shared" si="22"/>
        <v>0</v>
      </c>
      <c r="AC60" s="89">
        <f t="shared" si="22"/>
        <v>0</v>
      </c>
      <c r="AD60" s="89">
        <f t="shared" si="22"/>
        <v>0</v>
      </c>
      <c r="AE60" s="89">
        <f t="shared" si="22"/>
        <v>91000</v>
      </c>
      <c r="AF60" s="88">
        <f t="shared" si="22"/>
        <v>0</v>
      </c>
    </row>
    <row r="61" spans="2:32" x14ac:dyDescent="0.35">
      <c r="B61" s="356"/>
      <c r="C61" s="352"/>
      <c r="D61" s="357"/>
      <c r="E61" s="358"/>
      <c r="F61" s="352"/>
      <c r="G61" s="355"/>
      <c r="H61" s="334" t="str">
        <f t="shared" si="16"/>
        <v/>
      </c>
      <c r="I61" s="334" t="str">
        <f t="shared" si="17"/>
        <v/>
      </c>
      <c r="J61" s="335" t="str">
        <f t="shared" si="18"/>
        <v/>
      </c>
      <c r="K61" s="17"/>
      <c r="L61" s="17"/>
      <c r="M61" s="17"/>
      <c r="N61" s="17"/>
      <c r="O61" s="17"/>
      <c r="P61" s="17"/>
      <c r="Q61" s="17"/>
      <c r="T61" s="74" t="str">
        <f t="shared" si="21"/>
        <v>Females #0</v>
      </c>
      <c r="U61" s="89">
        <f t="shared" si="22"/>
        <v>0</v>
      </c>
      <c r="V61" s="89">
        <f t="shared" si="22"/>
        <v>0</v>
      </c>
      <c r="W61" s="89">
        <f t="shared" si="22"/>
        <v>0</v>
      </c>
      <c r="X61" s="89">
        <f t="shared" si="22"/>
        <v>0</v>
      </c>
      <c r="Y61" s="89">
        <f t="shared" si="22"/>
        <v>0</v>
      </c>
      <c r="Z61" s="89">
        <f t="shared" si="22"/>
        <v>0</v>
      </c>
      <c r="AA61" s="89">
        <f t="shared" si="22"/>
        <v>0</v>
      </c>
      <c r="AB61" s="89">
        <f t="shared" si="22"/>
        <v>0</v>
      </c>
      <c r="AC61" s="89">
        <f t="shared" si="22"/>
        <v>0</v>
      </c>
      <c r="AD61" s="89">
        <f t="shared" si="22"/>
        <v>0</v>
      </c>
      <c r="AE61" s="89">
        <f t="shared" si="22"/>
        <v>0</v>
      </c>
      <c r="AF61" s="88">
        <f t="shared" si="22"/>
        <v>0</v>
      </c>
    </row>
    <row r="62" spans="2:32" x14ac:dyDescent="0.35">
      <c r="B62" s="356"/>
      <c r="C62" s="352"/>
      <c r="D62" s="357"/>
      <c r="E62" s="358"/>
      <c r="F62" s="352"/>
      <c r="G62" s="355"/>
      <c r="H62" s="334" t="str">
        <f t="shared" si="16"/>
        <v/>
      </c>
      <c r="I62" s="334" t="str">
        <f t="shared" si="17"/>
        <v/>
      </c>
      <c r="J62" s="335" t="str">
        <f t="shared" si="18"/>
        <v/>
      </c>
      <c r="K62" s="17"/>
      <c r="L62" s="17"/>
      <c r="M62" s="17"/>
      <c r="N62" s="17"/>
      <c r="O62" s="17"/>
      <c r="P62" s="17"/>
      <c r="Q62" s="17"/>
      <c r="T62" s="74" t="str">
        <f t="shared" si="21"/>
        <v>Females #1</v>
      </c>
      <c r="U62" s="89">
        <f t="shared" si="22"/>
        <v>0</v>
      </c>
      <c r="V62" s="89">
        <f t="shared" si="22"/>
        <v>0</v>
      </c>
      <c r="W62" s="89">
        <f t="shared" si="22"/>
        <v>0</v>
      </c>
      <c r="X62" s="89">
        <f t="shared" si="22"/>
        <v>0</v>
      </c>
      <c r="Y62" s="89">
        <f t="shared" si="22"/>
        <v>0</v>
      </c>
      <c r="Z62" s="89">
        <f t="shared" si="22"/>
        <v>0</v>
      </c>
      <c r="AA62" s="89">
        <f t="shared" si="22"/>
        <v>0</v>
      </c>
      <c r="AB62" s="89">
        <f t="shared" si="22"/>
        <v>0</v>
      </c>
      <c r="AC62" s="89">
        <f t="shared" si="22"/>
        <v>0</v>
      </c>
      <c r="AD62" s="89">
        <f t="shared" si="22"/>
        <v>0</v>
      </c>
      <c r="AE62" s="89">
        <f t="shared" si="22"/>
        <v>0</v>
      </c>
      <c r="AF62" s="88">
        <f t="shared" si="22"/>
        <v>0</v>
      </c>
    </row>
    <row r="63" spans="2:32" x14ac:dyDescent="0.35">
      <c r="B63" s="356"/>
      <c r="C63" s="352"/>
      <c r="D63" s="357"/>
      <c r="E63" s="358"/>
      <c r="F63" s="352"/>
      <c r="G63" s="355"/>
      <c r="H63" s="334" t="str">
        <f t="shared" si="16"/>
        <v/>
      </c>
      <c r="I63" s="334" t="str">
        <f t="shared" si="17"/>
        <v/>
      </c>
      <c r="J63" s="335" t="str">
        <f t="shared" si="18"/>
        <v/>
      </c>
      <c r="K63" s="17"/>
      <c r="L63" s="17"/>
      <c r="M63" s="17"/>
      <c r="N63" s="17"/>
      <c r="O63" s="17"/>
      <c r="P63" s="17"/>
      <c r="Q63" s="17"/>
      <c r="T63" s="74" t="str">
        <f t="shared" si="21"/>
        <v>Mixed #1</v>
      </c>
      <c r="U63" s="89">
        <f t="shared" si="22"/>
        <v>0</v>
      </c>
      <c r="V63" s="89">
        <f t="shared" si="22"/>
        <v>0</v>
      </c>
      <c r="W63" s="89">
        <f t="shared" si="22"/>
        <v>0</v>
      </c>
      <c r="X63" s="89">
        <f t="shared" si="22"/>
        <v>0</v>
      </c>
      <c r="Y63" s="89">
        <f t="shared" si="22"/>
        <v>0</v>
      </c>
      <c r="Z63" s="89">
        <f t="shared" si="22"/>
        <v>0</v>
      </c>
      <c r="AA63" s="89">
        <f t="shared" si="22"/>
        <v>0</v>
      </c>
      <c r="AB63" s="89">
        <f t="shared" si="22"/>
        <v>0</v>
      </c>
      <c r="AC63" s="89">
        <f t="shared" si="22"/>
        <v>0</v>
      </c>
      <c r="AD63" s="89">
        <f t="shared" si="22"/>
        <v>0</v>
      </c>
      <c r="AE63" s="89">
        <f t="shared" si="22"/>
        <v>0</v>
      </c>
      <c r="AF63" s="88">
        <f t="shared" si="22"/>
        <v>0</v>
      </c>
    </row>
    <row r="64" spans="2:32" x14ac:dyDescent="0.35">
      <c r="B64" s="356"/>
      <c r="C64" s="352"/>
      <c r="D64" s="357"/>
      <c r="E64" s="358"/>
      <c r="F64" s="352"/>
      <c r="G64" s="355"/>
      <c r="H64" s="334" t="str">
        <f t="shared" si="16"/>
        <v/>
      </c>
      <c r="I64" s="334" t="str">
        <f t="shared" si="17"/>
        <v/>
      </c>
      <c r="J64" s="335" t="str">
        <f t="shared" si="18"/>
        <v/>
      </c>
      <c r="K64" s="17"/>
      <c r="L64" s="17"/>
      <c r="M64" s="17"/>
      <c r="N64" s="17"/>
      <c r="O64" s="17"/>
      <c r="P64" s="17"/>
      <c r="Q64" s="17"/>
      <c r="T64" s="74" t="str">
        <f t="shared" si="21"/>
        <v>Steers #8+</v>
      </c>
      <c r="U64" s="89">
        <f t="shared" si="22"/>
        <v>0</v>
      </c>
      <c r="V64" s="89">
        <f t="shared" si="22"/>
        <v>0</v>
      </c>
      <c r="W64" s="89">
        <f t="shared" si="22"/>
        <v>0</v>
      </c>
      <c r="X64" s="89">
        <f t="shared" si="22"/>
        <v>0</v>
      </c>
      <c r="Y64" s="89">
        <f t="shared" si="22"/>
        <v>0</v>
      </c>
      <c r="Z64" s="89">
        <f t="shared" si="22"/>
        <v>0</v>
      </c>
      <c r="AA64" s="89">
        <f t="shared" si="22"/>
        <v>0</v>
      </c>
      <c r="AB64" s="89">
        <f t="shared" si="22"/>
        <v>0</v>
      </c>
      <c r="AC64" s="89">
        <f t="shared" si="22"/>
        <v>0</v>
      </c>
      <c r="AD64" s="89">
        <f t="shared" si="22"/>
        <v>0</v>
      </c>
      <c r="AE64" s="89">
        <f t="shared" si="22"/>
        <v>0</v>
      </c>
      <c r="AF64" s="88">
        <f t="shared" si="22"/>
        <v>0</v>
      </c>
    </row>
    <row r="65" spans="2:32" x14ac:dyDescent="0.35">
      <c r="B65" s="356"/>
      <c r="C65" s="352"/>
      <c r="D65" s="357"/>
      <c r="E65" s="358"/>
      <c r="F65" s="352"/>
      <c r="G65" s="355"/>
      <c r="H65" s="334" t="str">
        <f t="shared" si="16"/>
        <v/>
      </c>
      <c r="I65" s="334" t="str">
        <f t="shared" si="17"/>
        <v/>
      </c>
      <c r="J65" s="335" t="str">
        <f t="shared" si="18"/>
        <v/>
      </c>
      <c r="K65" s="17"/>
      <c r="L65" s="17"/>
      <c r="M65" s="17"/>
      <c r="N65" s="17"/>
      <c r="O65" s="17"/>
      <c r="P65" s="17"/>
      <c r="Q65" s="17"/>
      <c r="T65" s="74" t="str">
        <f t="shared" si="21"/>
        <v>Steers #9</v>
      </c>
      <c r="U65" s="89">
        <f t="shared" si="22"/>
        <v>0</v>
      </c>
      <c r="V65" s="89">
        <f t="shared" si="22"/>
        <v>0</v>
      </c>
      <c r="W65" s="89">
        <f t="shared" si="22"/>
        <v>0</v>
      </c>
      <c r="X65" s="89">
        <f t="shared" si="22"/>
        <v>0</v>
      </c>
      <c r="Y65" s="89">
        <f t="shared" si="22"/>
        <v>0</v>
      </c>
      <c r="Z65" s="89">
        <f t="shared" si="22"/>
        <v>0</v>
      </c>
      <c r="AA65" s="89">
        <f t="shared" si="22"/>
        <v>0</v>
      </c>
      <c r="AB65" s="89">
        <f t="shared" si="22"/>
        <v>0</v>
      </c>
      <c r="AC65" s="89">
        <f t="shared" si="22"/>
        <v>0</v>
      </c>
      <c r="AD65" s="89">
        <f t="shared" si="22"/>
        <v>0</v>
      </c>
      <c r="AE65" s="89">
        <f t="shared" si="22"/>
        <v>0</v>
      </c>
      <c r="AF65" s="88">
        <f t="shared" si="22"/>
        <v>0</v>
      </c>
    </row>
    <row r="66" spans="2:32" x14ac:dyDescent="0.35">
      <c r="B66" s="356"/>
      <c r="C66" s="352"/>
      <c r="D66" s="357"/>
      <c r="E66" s="358"/>
      <c r="F66" s="352"/>
      <c r="G66" s="355"/>
      <c r="H66" s="334" t="str">
        <f t="shared" si="16"/>
        <v/>
      </c>
      <c r="I66" s="334" t="str">
        <f t="shared" si="17"/>
        <v/>
      </c>
      <c r="J66" s="335" t="str">
        <f t="shared" si="18"/>
        <v/>
      </c>
      <c r="K66" s="17"/>
      <c r="L66" s="17"/>
      <c r="M66" s="17"/>
      <c r="N66" s="17"/>
      <c r="O66" s="17"/>
      <c r="P66" s="17"/>
      <c r="Q66" s="17"/>
      <c r="T66" s="74" t="str">
        <f t="shared" si="21"/>
        <v>Steers #0</v>
      </c>
      <c r="U66" s="89">
        <f t="shared" si="22"/>
        <v>0</v>
      </c>
      <c r="V66" s="89">
        <f t="shared" si="22"/>
        <v>0</v>
      </c>
      <c r="W66" s="89">
        <f t="shared" si="22"/>
        <v>0</v>
      </c>
      <c r="X66" s="89">
        <f t="shared" si="22"/>
        <v>0</v>
      </c>
      <c r="Y66" s="89">
        <f t="shared" si="22"/>
        <v>0</v>
      </c>
      <c r="Z66" s="89">
        <f t="shared" si="22"/>
        <v>0</v>
      </c>
      <c r="AA66" s="89">
        <f t="shared" si="22"/>
        <v>0</v>
      </c>
      <c r="AB66" s="89">
        <f t="shared" si="22"/>
        <v>0</v>
      </c>
      <c r="AC66" s="89">
        <f t="shared" si="22"/>
        <v>0</v>
      </c>
      <c r="AD66" s="89">
        <f t="shared" si="22"/>
        <v>0</v>
      </c>
      <c r="AE66" s="89">
        <f t="shared" si="22"/>
        <v>0</v>
      </c>
      <c r="AF66" s="88">
        <f t="shared" si="22"/>
        <v>0</v>
      </c>
    </row>
    <row r="67" spans="2:32" x14ac:dyDescent="0.35">
      <c r="B67" s="356"/>
      <c r="C67" s="352"/>
      <c r="D67" s="357"/>
      <c r="E67" s="358"/>
      <c r="F67" s="352"/>
      <c r="G67" s="355"/>
      <c r="H67" s="334" t="str">
        <f t="shared" si="16"/>
        <v/>
      </c>
      <c r="I67" s="334" t="str">
        <f t="shared" si="17"/>
        <v/>
      </c>
      <c r="J67" s="335" t="str">
        <f t="shared" si="18"/>
        <v/>
      </c>
      <c r="K67" s="17"/>
      <c r="L67" s="17"/>
      <c r="M67" s="17"/>
      <c r="N67" s="17"/>
      <c r="O67" s="17"/>
      <c r="P67" s="17"/>
      <c r="Q67" s="17"/>
      <c r="T67" s="74" t="str">
        <f t="shared" si="21"/>
        <v>Steers #1</v>
      </c>
      <c r="U67" s="89">
        <f t="shared" si="22"/>
        <v>0</v>
      </c>
      <c r="V67" s="89">
        <f t="shared" si="22"/>
        <v>0</v>
      </c>
      <c r="W67" s="89">
        <f t="shared" si="22"/>
        <v>0</v>
      </c>
      <c r="X67" s="89">
        <f t="shared" si="22"/>
        <v>0</v>
      </c>
      <c r="Y67" s="89">
        <f t="shared" si="22"/>
        <v>0</v>
      </c>
      <c r="Z67" s="89">
        <f t="shared" si="22"/>
        <v>0</v>
      </c>
      <c r="AA67" s="89">
        <f t="shared" si="22"/>
        <v>0</v>
      </c>
      <c r="AB67" s="89">
        <f t="shared" si="22"/>
        <v>0</v>
      </c>
      <c r="AC67" s="89">
        <f t="shared" si="22"/>
        <v>0</v>
      </c>
      <c r="AD67" s="89">
        <f t="shared" si="22"/>
        <v>0</v>
      </c>
      <c r="AE67" s="89">
        <f t="shared" si="22"/>
        <v>0</v>
      </c>
      <c r="AF67" s="88">
        <f t="shared" si="22"/>
        <v>0</v>
      </c>
    </row>
    <row r="68" spans="2:32" x14ac:dyDescent="0.35">
      <c r="B68" s="356"/>
      <c r="C68" s="352"/>
      <c r="D68" s="357"/>
      <c r="E68" s="358"/>
      <c r="F68" s="352"/>
      <c r="G68" s="355"/>
      <c r="H68" s="334" t="str">
        <f t="shared" si="16"/>
        <v/>
      </c>
      <c r="I68" s="334" t="str">
        <f t="shared" si="17"/>
        <v/>
      </c>
      <c r="J68" s="335" t="str">
        <f t="shared" si="18"/>
        <v/>
      </c>
      <c r="K68" s="17"/>
      <c r="L68" s="17"/>
      <c r="M68" s="17"/>
      <c r="N68" s="17"/>
      <c r="O68" s="17"/>
      <c r="P68" s="17"/>
      <c r="Q68" s="17"/>
      <c r="T68" s="74" t="str">
        <f t="shared" si="21"/>
        <v>Bulls #8+</v>
      </c>
      <c r="U68" s="89">
        <f t="shared" si="22"/>
        <v>0</v>
      </c>
      <c r="V68" s="89">
        <f t="shared" si="22"/>
        <v>0</v>
      </c>
      <c r="W68" s="89">
        <f t="shared" si="22"/>
        <v>0</v>
      </c>
      <c r="X68" s="89">
        <f t="shared" si="22"/>
        <v>0</v>
      </c>
      <c r="Y68" s="89">
        <f t="shared" si="22"/>
        <v>0</v>
      </c>
      <c r="Z68" s="89">
        <f t="shared" si="22"/>
        <v>0</v>
      </c>
      <c r="AA68" s="89">
        <f t="shared" si="22"/>
        <v>0</v>
      </c>
      <c r="AB68" s="89">
        <f t="shared" si="22"/>
        <v>0</v>
      </c>
      <c r="AC68" s="89">
        <f t="shared" si="22"/>
        <v>0</v>
      </c>
      <c r="AD68" s="89">
        <f t="shared" si="22"/>
        <v>0</v>
      </c>
      <c r="AE68" s="89">
        <f t="shared" si="22"/>
        <v>0</v>
      </c>
      <c r="AF68" s="88">
        <f t="shared" si="22"/>
        <v>0</v>
      </c>
    </row>
    <row r="69" spans="2:32" x14ac:dyDescent="0.35">
      <c r="B69" s="356"/>
      <c r="C69" s="352"/>
      <c r="D69" s="357"/>
      <c r="E69" s="358"/>
      <c r="F69" s="352"/>
      <c r="G69" s="355"/>
      <c r="H69" s="334" t="str">
        <f t="shared" si="16"/>
        <v/>
      </c>
      <c r="I69" s="334" t="str">
        <f t="shared" si="17"/>
        <v/>
      </c>
      <c r="J69" s="335" t="str">
        <f t="shared" si="18"/>
        <v/>
      </c>
      <c r="K69" s="17"/>
      <c r="L69" s="17"/>
      <c r="M69" s="17"/>
      <c r="N69" s="17"/>
      <c r="O69" s="17"/>
      <c r="P69" s="17"/>
      <c r="Q69" s="17"/>
      <c r="T69" s="74" t="str">
        <f t="shared" si="21"/>
        <v>Bulls #9</v>
      </c>
      <c r="U69" s="89">
        <f t="shared" si="22"/>
        <v>0</v>
      </c>
      <c r="V69" s="89">
        <f t="shared" si="22"/>
        <v>0</v>
      </c>
      <c r="W69" s="89">
        <f t="shared" si="22"/>
        <v>25000</v>
      </c>
      <c r="X69" s="89">
        <f t="shared" si="22"/>
        <v>0</v>
      </c>
      <c r="Y69" s="89">
        <f t="shared" si="22"/>
        <v>0</v>
      </c>
      <c r="Z69" s="89">
        <f t="shared" si="22"/>
        <v>0</v>
      </c>
      <c r="AA69" s="89">
        <f t="shared" si="22"/>
        <v>0</v>
      </c>
      <c r="AB69" s="89">
        <f t="shared" si="22"/>
        <v>0</v>
      </c>
      <c r="AC69" s="89">
        <f t="shared" si="22"/>
        <v>0</v>
      </c>
      <c r="AD69" s="89">
        <f t="shared" si="22"/>
        <v>0</v>
      </c>
      <c r="AE69" s="89">
        <f t="shared" si="22"/>
        <v>0</v>
      </c>
      <c r="AF69" s="88">
        <f t="shared" si="22"/>
        <v>0</v>
      </c>
    </row>
    <row r="70" spans="2:32" x14ac:dyDescent="0.35">
      <c r="B70" s="356"/>
      <c r="C70" s="352"/>
      <c r="D70" s="357"/>
      <c r="E70" s="358"/>
      <c r="F70" s="352"/>
      <c r="G70" s="355"/>
      <c r="H70" s="334" t="str">
        <f t="shared" si="16"/>
        <v/>
      </c>
      <c r="I70" s="334" t="str">
        <f t="shared" si="17"/>
        <v/>
      </c>
      <c r="J70" s="335" t="str">
        <f t="shared" si="18"/>
        <v/>
      </c>
      <c r="K70" s="17"/>
      <c r="L70" s="17"/>
      <c r="M70" s="17"/>
      <c r="N70" s="17"/>
      <c r="O70" s="17"/>
      <c r="P70" s="17"/>
      <c r="Q70" s="17"/>
      <c r="T70" s="74" t="str">
        <f t="shared" si="21"/>
        <v>Bulls #0</v>
      </c>
      <c r="U70" s="89">
        <f t="shared" si="22"/>
        <v>0</v>
      </c>
      <c r="V70" s="89">
        <f t="shared" si="22"/>
        <v>0</v>
      </c>
      <c r="W70" s="89">
        <f t="shared" si="22"/>
        <v>0</v>
      </c>
      <c r="X70" s="89">
        <f t="shared" si="22"/>
        <v>0</v>
      </c>
      <c r="Y70" s="89">
        <f t="shared" si="22"/>
        <v>0</v>
      </c>
      <c r="Z70" s="89">
        <f t="shared" si="22"/>
        <v>0</v>
      </c>
      <c r="AA70" s="89">
        <f t="shared" si="22"/>
        <v>0</v>
      </c>
      <c r="AB70" s="89">
        <f t="shared" si="22"/>
        <v>0</v>
      </c>
      <c r="AC70" s="89">
        <f t="shared" si="22"/>
        <v>0</v>
      </c>
      <c r="AD70" s="89">
        <f t="shared" si="22"/>
        <v>0</v>
      </c>
      <c r="AE70" s="89">
        <f t="shared" si="22"/>
        <v>0</v>
      </c>
      <c r="AF70" s="88">
        <f t="shared" si="22"/>
        <v>0</v>
      </c>
    </row>
    <row r="71" spans="2:32" x14ac:dyDescent="0.35">
      <c r="B71" s="356"/>
      <c r="C71" s="352"/>
      <c r="D71" s="357"/>
      <c r="E71" s="358"/>
      <c r="F71" s="352"/>
      <c r="G71" s="355"/>
      <c r="H71" s="334" t="str">
        <f t="shared" si="16"/>
        <v/>
      </c>
      <c r="I71" s="334" t="str">
        <f t="shared" si="17"/>
        <v/>
      </c>
      <c r="J71" s="335" t="str">
        <f t="shared" si="18"/>
        <v/>
      </c>
      <c r="K71" s="17"/>
      <c r="L71" s="17"/>
      <c r="M71" s="17"/>
      <c r="N71" s="17"/>
      <c r="O71" s="17"/>
      <c r="P71" s="17"/>
      <c r="Q71" s="17"/>
      <c r="T71" s="71" t="str">
        <f t="shared" si="21"/>
        <v>Bulls #1</v>
      </c>
      <c r="U71" s="87">
        <f t="shared" si="22"/>
        <v>0</v>
      </c>
      <c r="V71" s="87">
        <f t="shared" si="22"/>
        <v>0</v>
      </c>
      <c r="W71" s="87">
        <f t="shared" si="22"/>
        <v>0</v>
      </c>
      <c r="X71" s="87">
        <f t="shared" si="22"/>
        <v>0</v>
      </c>
      <c r="Y71" s="87">
        <f t="shared" si="22"/>
        <v>0</v>
      </c>
      <c r="Z71" s="87">
        <f t="shared" si="22"/>
        <v>0</v>
      </c>
      <c r="AA71" s="87">
        <f t="shared" si="22"/>
        <v>0</v>
      </c>
      <c r="AB71" s="87">
        <f t="shared" si="22"/>
        <v>0</v>
      </c>
      <c r="AC71" s="87">
        <f t="shared" si="22"/>
        <v>0</v>
      </c>
      <c r="AD71" s="87">
        <f t="shared" si="22"/>
        <v>0</v>
      </c>
      <c r="AE71" s="87">
        <f t="shared" si="22"/>
        <v>0</v>
      </c>
      <c r="AF71" s="86">
        <f t="shared" si="22"/>
        <v>0</v>
      </c>
    </row>
    <row r="72" spans="2:32" ht="15" thickBot="1" x14ac:dyDescent="0.4">
      <c r="B72" s="356"/>
      <c r="C72" s="352"/>
      <c r="D72" s="357"/>
      <c r="E72" s="358"/>
      <c r="F72" s="352"/>
      <c r="G72" s="355"/>
      <c r="H72" s="334" t="str">
        <f t="shared" si="16"/>
        <v/>
      </c>
      <c r="I72" s="334" t="str">
        <f t="shared" si="17"/>
        <v/>
      </c>
      <c r="J72" s="335" t="str">
        <f t="shared" si="18"/>
        <v/>
      </c>
      <c r="K72" s="17"/>
      <c r="L72" s="17"/>
      <c r="M72" s="17"/>
      <c r="N72" s="17"/>
      <c r="O72" s="17"/>
      <c r="P72" s="17"/>
      <c r="Q72" s="17"/>
    </row>
    <row r="73" spans="2:32" ht="15" thickBot="1" x14ac:dyDescent="0.4">
      <c r="B73" s="356"/>
      <c r="C73" s="352"/>
      <c r="D73" s="357"/>
      <c r="E73" s="358"/>
      <c r="F73" s="352"/>
      <c r="G73" s="355"/>
      <c r="H73" s="334" t="str">
        <f t="shared" si="16"/>
        <v/>
      </c>
      <c r="I73" s="334" t="str">
        <f t="shared" si="17"/>
        <v/>
      </c>
      <c r="J73" s="335" t="str">
        <f t="shared" si="18"/>
        <v/>
      </c>
      <c r="K73" s="17"/>
      <c r="L73" s="17"/>
      <c r="M73" s="17"/>
      <c r="N73" s="17"/>
      <c r="O73" s="17"/>
      <c r="P73" s="17"/>
      <c r="Q73" s="17"/>
      <c r="S73" s="84">
        <f>IF(SUM(U74:AF88)=J77,0,1)</f>
        <v>0</v>
      </c>
      <c r="T73" s="83" t="s">
        <v>105</v>
      </c>
      <c r="U73" s="82" t="str">
        <f>$U$5</f>
        <v>July</v>
      </c>
      <c r="V73" s="82" t="str">
        <f>$V$5</f>
        <v>August</v>
      </c>
      <c r="W73" s="82" t="str">
        <f>$W$5</f>
        <v>September</v>
      </c>
      <c r="X73" s="82" t="str">
        <f>$X$5</f>
        <v>October</v>
      </c>
      <c r="Y73" s="82" t="str">
        <f>$Y$5</f>
        <v>November</v>
      </c>
      <c r="Z73" s="82" t="str">
        <f>$Z$5</f>
        <v>December</v>
      </c>
      <c r="AA73" s="82" t="str">
        <f>$AA$5</f>
        <v>January</v>
      </c>
      <c r="AB73" s="82" t="str">
        <f>$AB$5</f>
        <v>February</v>
      </c>
      <c r="AC73" s="82" t="str">
        <f>$AC$5</f>
        <v>March</v>
      </c>
      <c r="AD73" s="82" t="str">
        <f>$AD$5</f>
        <v>April</v>
      </c>
      <c r="AE73" s="82" t="str">
        <f>$AE$5</f>
        <v>May</v>
      </c>
      <c r="AF73" s="81" t="str">
        <f>$AF$5</f>
        <v>June</v>
      </c>
    </row>
    <row r="74" spans="2:32" x14ac:dyDescent="0.35">
      <c r="B74" s="356"/>
      <c r="C74" s="352"/>
      <c r="D74" s="357"/>
      <c r="E74" s="358"/>
      <c r="F74" s="352"/>
      <c r="G74" s="355"/>
      <c r="H74" s="334" t="str">
        <f t="shared" si="16"/>
        <v/>
      </c>
      <c r="I74" s="334" t="str">
        <f t="shared" si="17"/>
        <v/>
      </c>
      <c r="J74" s="335" t="str">
        <f t="shared" si="18"/>
        <v/>
      </c>
      <c r="K74" s="17"/>
      <c r="L74" s="17"/>
      <c r="M74" s="17"/>
      <c r="N74" s="17"/>
      <c r="O74" s="17"/>
      <c r="P74" s="17"/>
      <c r="Q74" s="17"/>
      <c r="T74" s="74" t="str">
        <f t="shared" ref="T74:T88" si="23">T6</f>
        <v>Speys &amp; Culls</v>
      </c>
      <c r="U74" s="73">
        <f t="shared" ref="U74:AF88" si="24">SUMIFS($J$27:$J$76,$B$27:$B$76,$T74,$F$27:$F$76,U$73)</f>
        <v>0</v>
      </c>
      <c r="V74" s="73">
        <f t="shared" si="24"/>
        <v>0</v>
      </c>
      <c r="W74" s="73">
        <f t="shared" si="24"/>
        <v>0</v>
      </c>
      <c r="X74" s="73">
        <f t="shared" si="24"/>
        <v>0</v>
      </c>
      <c r="Y74" s="73">
        <f t="shared" si="24"/>
        <v>0</v>
      </c>
      <c r="Z74" s="73">
        <f t="shared" si="24"/>
        <v>0</v>
      </c>
      <c r="AA74" s="73">
        <f t="shared" si="24"/>
        <v>0</v>
      </c>
      <c r="AB74" s="73">
        <f t="shared" si="24"/>
        <v>0</v>
      </c>
      <c r="AC74" s="73">
        <f t="shared" si="24"/>
        <v>0</v>
      </c>
      <c r="AD74" s="73">
        <f t="shared" si="24"/>
        <v>0</v>
      </c>
      <c r="AE74" s="73">
        <f t="shared" si="24"/>
        <v>0</v>
      </c>
      <c r="AF74" s="72">
        <f t="shared" si="24"/>
        <v>0</v>
      </c>
    </row>
    <row r="75" spans="2:32" x14ac:dyDescent="0.35">
      <c r="B75" s="356"/>
      <c r="C75" s="352"/>
      <c r="D75" s="357"/>
      <c r="E75" s="358"/>
      <c r="F75" s="352"/>
      <c r="G75" s="355"/>
      <c r="H75" s="334" t="str">
        <f t="shared" si="16"/>
        <v/>
      </c>
      <c r="I75" s="334" t="str">
        <f t="shared" si="17"/>
        <v/>
      </c>
      <c r="J75" s="335" t="str">
        <f t="shared" si="18"/>
        <v/>
      </c>
      <c r="K75" s="17"/>
      <c r="L75" s="17"/>
      <c r="M75" s="17"/>
      <c r="N75" s="17"/>
      <c r="O75" s="17"/>
      <c r="P75" s="17"/>
      <c r="Q75" s="17"/>
      <c r="T75" s="74" t="str">
        <f t="shared" si="23"/>
        <v>Females #7+</v>
      </c>
      <c r="U75" s="73">
        <f t="shared" si="24"/>
        <v>0</v>
      </c>
      <c r="V75" s="73">
        <f t="shared" si="24"/>
        <v>0</v>
      </c>
      <c r="W75" s="73">
        <f t="shared" si="24"/>
        <v>0</v>
      </c>
      <c r="X75" s="73">
        <f t="shared" si="24"/>
        <v>0</v>
      </c>
      <c r="Y75" s="73">
        <f t="shared" si="24"/>
        <v>0</v>
      </c>
      <c r="Z75" s="73">
        <f t="shared" si="24"/>
        <v>0</v>
      </c>
      <c r="AA75" s="73">
        <f t="shared" si="24"/>
        <v>0</v>
      </c>
      <c r="AB75" s="73">
        <f t="shared" si="24"/>
        <v>0</v>
      </c>
      <c r="AC75" s="73">
        <f t="shared" si="24"/>
        <v>46060</v>
      </c>
      <c r="AD75" s="73">
        <f t="shared" si="24"/>
        <v>0</v>
      </c>
      <c r="AE75" s="73">
        <f t="shared" si="24"/>
        <v>0</v>
      </c>
      <c r="AF75" s="72">
        <f t="shared" si="24"/>
        <v>20925</v>
      </c>
    </row>
    <row r="76" spans="2:32" x14ac:dyDescent="0.35">
      <c r="B76" s="360"/>
      <c r="C76" s="361"/>
      <c r="D76" s="362"/>
      <c r="E76" s="363"/>
      <c r="F76" s="361"/>
      <c r="G76" s="364"/>
      <c r="H76" s="336" t="str">
        <f t="shared" si="16"/>
        <v/>
      </c>
      <c r="I76" s="336" t="str">
        <f t="shared" si="17"/>
        <v/>
      </c>
      <c r="J76" s="335" t="str">
        <f t="shared" si="18"/>
        <v/>
      </c>
      <c r="K76" s="17"/>
      <c r="L76" s="17"/>
      <c r="M76" s="17"/>
      <c r="N76" s="17"/>
      <c r="O76" s="17"/>
      <c r="P76" s="17"/>
      <c r="Q76" s="17"/>
      <c r="T76" s="74" t="str">
        <f t="shared" si="23"/>
        <v>Females #8</v>
      </c>
      <c r="U76" s="73">
        <f t="shared" si="24"/>
        <v>0</v>
      </c>
      <c r="V76" s="73">
        <f t="shared" si="24"/>
        <v>0</v>
      </c>
      <c r="W76" s="73">
        <f t="shared" si="24"/>
        <v>0</v>
      </c>
      <c r="X76" s="73">
        <f t="shared" si="24"/>
        <v>0</v>
      </c>
      <c r="Y76" s="73">
        <f t="shared" si="24"/>
        <v>0</v>
      </c>
      <c r="Z76" s="73">
        <f t="shared" si="24"/>
        <v>0</v>
      </c>
      <c r="AA76" s="73">
        <f t="shared" si="24"/>
        <v>0</v>
      </c>
      <c r="AB76" s="73">
        <f t="shared" si="24"/>
        <v>0</v>
      </c>
      <c r="AC76" s="73">
        <f t="shared" si="24"/>
        <v>0</v>
      </c>
      <c r="AD76" s="73">
        <f t="shared" si="24"/>
        <v>0</v>
      </c>
      <c r="AE76" s="73">
        <f t="shared" si="24"/>
        <v>0</v>
      </c>
      <c r="AF76" s="72">
        <f t="shared" si="24"/>
        <v>32800</v>
      </c>
    </row>
    <row r="77" spans="2:32" ht="15" thickBot="1" x14ac:dyDescent="0.4">
      <c r="B77" s="80"/>
      <c r="C77" s="79"/>
      <c r="D77" s="79">
        <f>SUM(D27:D76)</f>
        <v>631</v>
      </c>
      <c r="E77" s="79">
        <f>SUMPRODUCT(D27:D76,E27:E76)/D77</f>
        <v>412.97147385103011</v>
      </c>
      <c r="F77" s="78"/>
      <c r="G77" s="77">
        <f>H77/E77</f>
        <v>2.9815856630274191</v>
      </c>
      <c r="H77" s="76">
        <f>I77/D77</f>
        <v>1231.3098256735341</v>
      </c>
      <c r="I77" s="76">
        <f>SUM(I27:I76)</f>
        <v>776956.5</v>
      </c>
      <c r="J77" s="75">
        <f>SUM(J27:J76)</f>
        <v>260585</v>
      </c>
      <c r="K77" s="17"/>
      <c r="L77" s="17"/>
      <c r="M77" s="17"/>
      <c r="N77" s="17"/>
      <c r="O77" s="17"/>
      <c r="P77" s="17"/>
      <c r="Q77" s="17"/>
      <c r="T77" s="74" t="str">
        <f t="shared" si="23"/>
        <v>Females #9</v>
      </c>
      <c r="U77" s="73">
        <f t="shared" si="24"/>
        <v>26880</v>
      </c>
      <c r="V77" s="73">
        <f t="shared" si="24"/>
        <v>0</v>
      </c>
      <c r="W77" s="73">
        <f t="shared" si="24"/>
        <v>0</v>
      </c>
      <c r="X77" s="73">
        <f t="shared" si="24"/>
        <v>0</v>
      </c>
      <c r="Y77" s="73">
        <f t="shared" si="24"/>
        <v>0</v>
      </c>
      <c r="Z77" s="73">
        <f t="shared" si="24"/>
        <v>0</v>
      </c>
      <c r="AA77" s="73">
        <f t="shared" si="24"/>
        <v>0</v>
      </c>
      <c r="AB77" s="73">
        <f t="shared" si="24"/>
        <v>0</v>
      </c>
      <c r="AC77" s="73">
        <f t="shared" si="24"/>
        <v>0</v>
      </c>
      <c r="AD77" s="73">
        <f t="shared" si="24"/>
        <v>0</v>
      </c>
      <c r="AE77" s="73">
        <f t="shared" si="24"/>
        <v>0</v>
      </c>
      <c r="AF77" s="72">
        <f t="shared" si="24"/>
        <v>0</v>
      </c>
    </row>
    <row r="78" spans="2:32" x14ac:dyDescent="0.35">
      <c r="E78" s="267"/>
      <c r="F78" s="267"/>
      <c r="K78" s="17"/>
      <c r="L78" s="17"/>
      <c r="M78" s="17"/>
      <c r="N78" s="17"/>
      <c r="O78" s="17"/>
      <c r="P78" s="17"/>
      <c r="Q78" s="17"/>
      <c r="T78" s="74" t="str">
        <f t="shared" si="23"/>
        <v>Females #0</v>
      </c>
      <c r="U78" s="73">
        <f t="shared" si="24"/>
        <v>0</v>
      </c>
      <c r="V78" s="73">
        <f t="shared" si="24"/>
        <v>0</v>
      </c>
      <c r="W78" s="73">
        <f t="shared" si="24"/>
        <v>0</v>
      </c>
      <c r="X78" s="73">
        <f t="shared" si="24"/>
        <v>0</v>
      </c>
      <c r="Y78" s="73">
        <f t="shared" si="24"/>
        <v>0</v>
      </c>
      <c r="Z78" s="73">
        <f t="shared" si="24"/>
        <v>0</v>
      </c>
      <c r="AA78" s="73">
        <f t="shared" si="24"/>
        <v>0</v>
      </c>
      <c r="AB78" s="73">
        <f t="shared" si="24"/>
        <v>0</v>
      </c>
      <c r="AC78" s="73">
        <f t="shared" si="24"/>
        <v>0</v>
      </c>
      <c r="AD78" s="73">
        <f t="shared" si="24"/>
        <v>0</v>
      </c>
      <c r="AE78" s="73">
        <f t="shared" si="24"/>
        <v>0</v>
      </c>
      <c r="AF78" s="72">
        <f t="shared" si="24"/>
        <v>0</v>
      </c>
    </row>
    <row r="79" spans="2:32" ht="15" thickBot="1" x14ac:dyDescent="0.4">
      <c r="B79" s="19" t="s">
        <v>101</v>
      </c>
      <c r="K79" s="17"/>
      <c r="L79" s="17"/>
      <c r="M79" s="17"/>
      <c r="N79" s="17"/>
      <c r="O79" s="17"/>
      <c r="P79" s="17"/>
      <c r="Q79" s="17"/>
      <c r="T79" s="74" t="str">
        <f t="shared" si="23"/>
        <v>Females #1</v>
      </c>
      <c r="U79" s="73">
        <f t="shared" si="24"/>
        <v>0</v>
      </c>
      <c r="V79" s="73">
        <f t="shared" si="24"/>
        <v>0</v>
      </c>
      <c r="W79" s="73">
        <f t="shared" si="24"/>
        <v>0</v>
      </c>
      <c r="X79" s="73">
        <f t="shared" si="24"/>
        <v>0</v>
      </c>
      <c r="Y79" s="73">
        <f t="shared" si="24"/>
        <v>0</v>
      </c>
      <c r="Z79" s="73">
        <f t="shared" si="24"/>
        <v>0</v>
      </c>
      <c r="AA79" s="73">
        <f t="shared" si="24"/>
        <v>0</v>
      </c>
      <c r="AB79" s="73">
        <f t="shared" si="24"/>
        <v>0</v>
      </c>
      <c r="AC79" s="73">
        <f t="shared" si="24"/>
        <v>0</v>
      </c>
      <c r="AD79" s="73">
        <f t="shared" si="24"/>
        <v>0</v>
      </c>
      <c r="AE79" s="73">
        <f t="shared" si="24"/>
        <v>0</v>
      </c>
      <c r="AF79" s="72">
        <f t="shared" si="24"/>
        <v>0</v>
      </c>
    </row>
    <row r="80" spans="2:32" ht="29" x14ac:dyDescent="0.35">
      <c r="B80" s="326" t="s">
        <v>100</v>
      </c>
      <c r="C80" s="327" t="s">
        <v>99</v>
      </c>
      <c r="D80" s="327" t="s">
        <v>98</v>
      </c>
      <c r="E80" s="327" t="s">
        <v>97</v>
      </c>
      <c r="F80" s="327" t="s">
        <v>96</v>
      </c>
      <c r="G80" s="327" t="s">
        <v>95</v>
      </c>
      <c r="H80" s="327" t="s">
        <v>94</v>
      </c>
      <c r="I80" s="327" t="s">
        <v>84</v>
      </c>
      <c r="J80" s="328" t="s">
        <v>93</v>
      </c>
      <c r="K80" s="17"/>
      <c r="L80" s="17"/>
      <c r="M80" s="17"/>
      <c r="N80" s="17"/>
      <c r="O80" s="17"/>
      <c r="P80" s="17"/>
      <c r="Q80" s="17"/>
      <c r="T80" s="74" t="str">
        <f t="shared" si="23"/>
        <v>Mixed #1</v>
      </c>
      <c r="U80" s="73">
        <f t="shared" si="24"/>
        <v>0</v>
      </c>
      <c r="V80" s="73">
        <f t="shared" si="24"/>
        <v>0</v>
      </c>
      <c r="W80" s="73">
        <f t="shared" si="24"/>
        <v>0</v>
      </c>
      <c r="X80" s="73">
        <f t="shared" si="24"/>
        <v>0</v>
      </c>
      <c r="Y80" s="73">
        <f t="shared" si="24"/>
        <v>0</v>
      </c>
      <c r="Z80" s="73">
        <f t="shared" si="24"/>
        <v>0</v>
      </c>
      <c r="AA80" s="73">
        <f t="shared" si="24"/>
        <v>0</v>
      </c>
      <c r="AB80" s="73">
        <f t="shared" si="24"/>
        <v>0</v>
      </c>
      <c r="AC80" s="73">
        <f t="shared" si="24"/>
        <v>0</v>
      </c>
      <c r="AD80" s="73">
        <f t="shared" si="24"/>
        <v>0</v>
      </c>
      <c r="AE80" s="73">
        <f t="shared" si="24"/>
        <v>0</v>
      </c>
      <c r="AF80" s="72">
        <f t="shared" si="24"/>
        <v>0</v>
      </c>
    </row>
    <row r="81" spans="2:32" x14ac:dyDescent="0.35">
      <c r="B81" s="351" t="s">
        <v>304</v>
      </c>
      <c r="C81" s="352"/>
      <c r="D81" s="353">
        <v>5</v>
      </c>
      <c r="E81" s="353">
        <v>650</v>
      </c>
      <c r="F81" s="354" t="s">
        <v>92</v>
      </c>
      <c r="G81" s="365">
        <v>5000</v>
      </c>
      <c r="H81" s="354" t="s">
        <v>305</v>
      </c>
      <c r="I81" s="337">
        <f t="shared" ref="I81:I112" si="25">IF(B81="","",IF(H81="/Head",G81*D81,IF(H81="/Kg LW",D81*E81*G81,"CHECK")))</f>
        <v>25000</v>
      </c>
      <c r="J81" s="338">
        <f t="shared" ref="J81:J112" si="26">IF(D81="","",D81*E81)</f>
        <v>3250</v>
      </c>
      <c r="K81" s="17"/>
      <c r="L81" s="17"/>
      <c r="M81" s="17"/>
      <c r="N81" s="17"/>
      <c r="O81" s="17"/>
      <c r="P81" s="17"/>
      <c r="Q81" s="17"/>
      <c r="T81" s="74" t="str">
        <f t="shared" si="23"/>
        <v>Steers #8+</v>
      </c>
      <c r="U81" s="73">
        <f t="shared" si="24"/>
        <v>0</v>
      </c>
      <c r="V81" s="73">
        <f t="shared" si="24"/>
        <v>0</v>
      </c>
      <c r="W81" s="73">
        <f t="shared" si="24"/>
        <v>0</v>
      </c>
      <c r="X81" s="73">
        <f t="shared" si="24"/>
        <v>0</v>
      </c>
      <c r="Y81" s="73">
        <f t="shared" si="24"/>
        <v>0</v>
      </c>
      <c r="Z81" s="73">
        <f t="shared" si="24"/>
        <v>0</v>
      </c>
      <c r="AA81" s="73">
        <f t="shared" si="24"/>
        <v>0</v>
      </c>
      <c r="AB81" s="73">
        <f t="shared" si="24"/>
        <v>0</v>
      </c>
      <c r="AC81" s="73">
        <f t="shared" si="24"/>
        <v>0</v>
      </c>
      <c r="AD81" s="73">
        <f t="shared" si="24"/>
        <v>0</v>
      </c>
      <c r="AE81" s="73">
        <f t="shared" si="24"/>
        <v>0</v>
      </c>
      <c r="AF81" s="72">
        <f t="shared" si="24"/>
        <v>0</v>
      </c>
    </row>
    <row r="82" spans="2:32" x14ac:dyDescent="0.35">
      <c r="B82" s="356" t="s">
        <v>302</v>
      </c>
      <c r="C82" s="352"/>
      <c r="D82" s="357">
        <v>100</v>
      </c>
      <c r="E82" s="357">
        <v>350</v>
      </c>
      <c r="F82" s="352" t="s">
        <v>91</v>
      </c>
      <c r="G82" s="366">
        <v>2.6</v>
      </c>
      <c r="H82" s="352" t="s">
        <v>307</v>
      </c>
      <c r="I82" s="334">
        <f t="shared" si="25"/>
        <v>91000</v>
      </c>
      <c r="J82" s="335">
        <f t="shared" si="26"/>
        <v>35000</v>
      </c>
      <c r="K82" s="17"/>
      <c r="L82" s="17"/>
      <c r="M82" s="17"/>
      <c r="N82" s="17"/>
      <c r="O82" s="17"/>
      <c r="P82" s="17"/>
      <c r="Q82" s="17"/>
      <c r="T82" s="74" t="str">
        <f t="shared" si="23"/>
        <v>Steers #9</v>
      </c>
      <c r="U82" s="73">
        <f t="shared" si="24"/>
        <v>0</v>
      </c>
      <c r="V82" s="73">
        <f t="shared" si="24"/>
        <v>115920</v>
      </c>
      <c r="W82" s="73">
        <f t="shared" si="24"/>
        <v>0</v>
      </c>
      <c r="X82" s="73">
        <f t="shared" si="24"/>
        <v>0</v>
      </c>
      <c r="Y82" s="73">
        <f t="shared" si="24"/>
        <v>0</v>
      </c>
      <c r="Z82" s="73">
        <f t="shared" si="24"/>
        <v>0</v>
      </c>
      <c r="AA82" s="73">
        <f t="shared" si="24"/>
        <v>0</v>
      </c>
      <c r="AB82" s="73">
        <f t="shared" si="24"/>
        <v>0</v>
      </c>
      <c r="AC82" s="73">
        <f t="shared" si="24"/>
        <v>0</v>
      </c>
      <c r="AD82" s="73">
        <f t="shared" si="24"/>
        <v>0</v>
      </c>
      <c r="AE82" s="73">
        <f t="shared" si="24"/>
        <v>0</v>
      </c>
      <c r="AF82" s="72">
        <f t="shared" si="24"/>
        <v>0</v>
      </c>
    </row>
    <row r="83" spans="2:32" x14ac:dyDescent="0.35">
      <c r="B83" s="356"/>
      <c r="C83" s="352"/>
      <c r="D83" s="357"/>
      <c r="E83" s="357"/>
      <c r="F83" s="352"/>
      <c r="G83" s="366"/>
      <c r="H83" s="352"/>
      <c r="I83" s="334" t="str">
        <f t="shared" si="25"/>
        <v/>
      </c>
      <c r="J83" s="335" t="str">
        <f t="shared" si="26"/>
        <v/>
      </c>
      <c r="K83" s="17"/>
      <c r="L83" s="17"/>
      <c r="M83" s="17"/>
      <c r="N83" s="17"/>
      <c r="O83" s="17"/>
      <c r="P83" s="17"/>
      <c r="Q83" s="17"/>
      <c r="T83" s="74" t="str">
        <f t="shared" si="23"/>
        <v>Steers #0</v>
      </c>
      <c r="U83" s="73">
        <f t="shared" si="24"/>
        <v>0</v>
      </c>
      <c r="V83" s="73">
        <f t="shared" si="24"/>
        <v>18000</v>
      </c>
      <c r="W83" s="73">
        <f t="shared" si="24"/>
        <v>0</v>
      </c>
      <c r="X83" s="73">
        <f t="shared" si="24"/>
        <v>0</v>
      </c>
      <c r="Y83" s="73">
        <f t="shared" si="24"/>
        <v>0</v>
      </c>
      <c r="Z83" s="73">
        <f t="shared" si="24"/>
        <v>0</v>
      </c>
      <c r="AA83" s="73">
        <f t="shared" si="24"/>
        <v>0</v>
      </c>
      <c r="AB83" s="73">
        <f t="shared" si="24"/>
        <v>0</v>
      </c>
      <c r="AC83" s="73">
        <f t="shared" si="24"/>
        <v>0</v>
      </c>
      <c r="AD83" s="73">
        <f t="shared" si="24"/>
        <v>0</v>
      </c>
      <c r="AE83" s="73">
        <f t="shared" si="24"/>
        <v>0</v>
      </c>
      <c r="AF83" s="72">
        <f t="shared" si="24"/>
        <v>0</v>
      </c>
    </row>
    <row r="84" spans="2:32" x14ac:dyDescent="0.35">
      <c r="B84" s="356"/>
      <c r="C84" s="352"/>
      <c r="D84" s="357"/>
      <c r="E84" s="357"/>
      <c r="F84" s="352"/>
      <c r="G84" s="366"/>
      <c r="H84" s="352"/>
      <c r="I84" s="334" t="str">
        <f t="shared" si="25"/>
        <v/>
      </c>
      <c r="J84" s="335" t="str">
        <f t="shared" si="26"/>
        <v/>
      </c>
      <c r="K84" s="17"/>
      <c r="L84" s="17"/>
      <c r="M84" s="17"/>
      <c r="N84" s="17"/>
      <c r="O84" s="17"/>
      <c r="P84" s="17"/>
      <c r="Q84" s="17"/>
      <c r="T84" s="74" t="str">
        <f t="shared" si="23"/>
        <v>Steers #1</v>
      </c>
      <c r="U84" s="73">
        <f t="shared" si="24"/>
        <v>0</v>
      </c>
      <c r="V84" s="73">
        <f t="shared" si="24"/>
        <v>0</v>
      </c>
      <c r="W84" s="73">
        <f t="shared" si="24"/>
        <v>0</v>
      </c>
      <c r="X84" s="73">
        <f t="shared" si="24"/>
        <v>0</v>
      </c>
      <c r="Y84" s="73">
        <f t="shared" si="24"/>
        <v>0</v>
      </c>
      <c r="Z84" s="73">
        <f t="shared" si="24"/>
        <v>0</v>
      </c>
      <c r="AA84" s="73">
        <f t="shared" si="24"/>
        <v>0</v>
      </c>
      <c r="AB84" s="73">
        <f t="shared" si="24"/>
        <v>0</v>
      </c>
      <c r="AC84" s="73">
        <f t="shared" si="24"/>
        <v>0</v>
      </c>
      <c r="AD84" s="73">
        <f t="shared" si="24"/>
        <v>0</v>
      </c>
      <c r="AE84" s="73">
        <f t="shared" si="24"/>
        <v>0</v>
      </c>
      <c r="AF84" s="72">
        <f t="shared" si="24"/>
        <v>0</v>
      </c>
    </row>
    <row r="85" spans="2:32" x14ac:dyDescent="0.35">
      <c r="B85" s="356"/>
      <c r="C85" s="352"/>
      <c r="D85" s="357"/>
      <c r="E85" s="357"/>
      <c r="F85" s="352"/>
      <c r="G85" s="366"/>
      <c r="H85" s="352"/>
      <c r="I85" s="334" t="str">
        <f t="shared" si="25"/>
        <v/>
      </c>
      <c r="J85" s="335" t="str">
        <f t="shared" si="26"/>
        <v/>
      </c>
      <c r="K85" s="17"/>
      <c r="L85" s="17"/>
      <c r="M85" s="17"/>
      <c r="N85" s="17"/>
      <c r="O85" s="17"/>
      <c r="P85" s="17"/>
      <c r="Q85" s="17"/>
      <c r="T85" s="74" t="str">
        <f t="shared" si="23"/>
        <v>Bulls #8+</v>
      </c>
      <c r="U85" s="73">
        <f t="shared" si="24"/>
        <v>0</v>
      </c>
      <c r="V85" s="73">
        <f t="shared" si="24"/>
        <v>0</v>
      </c>
      <c r="W85" s="73">
        <f t="shared" si="24"/>
        <v>0</v>
      </c>
      <c r="X85" s="73">
        <f t="shared" si="24"/>
        <v>0</v>
      </c>
      <c r="Y85" s="73">
        <f t="shared" si="24"/>
        <v>0</v>
      </c>
      <c r="Z85" s="73">
        <f t="shared" si="24"/>
        <v>0</v>
      </c>
      <c r="AA85" s="73">
        <f t="shared" si="24"/>
        <v>0</v>
      </c>
      <c r="AB85" s="73">
        <f t="shared" si="24"/>
        <v>0</v>
      </c>
      <c r="AC85" s="73">
        <f t="shared" si="24"/>
        <v>0</v>
      </c>
      <c r="AD85" s="73">
        <f t="shared" si="24"/>
        <v>0</v>
      </c>
      <c r="AE85" s="73">
        <f t="shared" si="24"/>
        <v>0</v>
      </c>
      <c r="AF85" s="72">
        <f t="shared" si="24"/>
        <v>0</v>
      </c>
    </row>
    <row r="86" spans="2:32" x14ac:dyDescent="0.35">
      <c r="B86" s="356"/>
      <c r="C86" s="352"/>
      <c r="D86" s="357"/>
      <c r="E86" s="357"/>
      <c r="F86" s="352"/>
      <c r="G86" s="366"/>
      <c r="H86" s="352"/>
      <c r="I86" s="334" t="str">
        <f t="shared" si="25"/>
        <v/>
      </c>
      <c r="J86" s="335" t="str">
        <f t="shared" si="26"/>
        <v/>
      </c>
      <c r="K86" s="17"/>
      <c r="L86" s="17"/>
      <c r="M86" s="17"/>
      <c r="N86" s="17"/>
      <c r="O86" s="17"/>
      <c r="P86" s="17"/>
      <c r="Q86" s="17"/>
      <c r="T86" s="74" t="str">
        <f t="shared" si="23"/>
        <v>Bulls #9</v>
      </c>
      <c r="U86" s="73">
        <f t="shared" si="24"/>
        <v>0</v>
      </c>
      <c r="V86" s="73">
        <f t="shared" si="24"/>
        <v>0</v>
      </c>
      <c r="W86" s="73">
        <f t="shared" si="24"/>
        <v>0</v>
      </c>
      <c r="X86" s="73">
        <f t="shared" si="24"/>
        <v>0</v>
      </c>
      <c r="Y86" s="73">
        <f t="shared" si="24"/>
        <v>0</v>
      </c>
      <c r="Z86" s="73">
        <f t="shared" si="24"/>
        <v>0</v>
      </c>
      <c r="AA86" s="73">
        <f t="shared" si="24"/>
        <v>0</v>
      </c>
      <c r="AB86" s="73">
        <f t="shared" si="24"/>
        <v>0</v>
      </c>
      <c r="AC86" s="73">
        <f t="shared" si="24"/>
        <v>0</v>
      </c>
      <c r="AD86" s="73">
        <f t="shared" si="24"/>
        <v>0</v>
      </c>
      <c r="AE86" s="73">
        <f t="shared" si="24"/>
        <v>0</v>
      </c>
      <c r="AF86" s="72">
        <f t="shared" si="24"/>
        <v>0</v>
      </c>
    </row>
    <row r="87" spans="2:32" x14ac:dyDescent="0.35">
      <c r="B87" s="356"/>
      <c r="C87" s="352"/>
      <c r="D87" s="357"/>
      <c r="E87" s="357"/>
      <c r="F87" s="352"/>
      <c r="G87" s="366"/>
      <c r="H87" s="352"/>
      <c r="I87" s="334" t="str">
        <f t="shared" si="25"/>
        <v/>
      </c>
      <c r="J87" s="335" t="str">
        <f t="shared" si="26"/>
        <v/>
      </c>
      <c r="K87" s="17"/>
      <c r="L87" s="17"/>
      <c r="M87" s="17"/>
      <c r="N87" s="17"/>
      <c r="O87" s="17"/>
      <c r="P87" s="17"/>
      <c r="Q87" s="17"/>
      <c r="T87" s="74" t="str">
        <f t="shared" si="23"/>
        <v>Bulls #0</v>
      </c>
      <c r="U87" s="73">
        <f t="shared" si="24"/>
        <v>0</v>
      </c>
      <c r="V87" s="73">
        <f t="shared" si="24"/>
        <v>0</v>
      </c>
      <c r="W87" s="73">
        <f t="shared" si="24"/>
        <v>0</v>
      </c>
      <c r="X87" s="73">
        <f t="shared" si="24"/>
        <v>0</v>
      </c>
      <c r="Y87" s="73">
        <f t="shared" si="24"/>
        <v>0</v>
      </c>
      <c r="Z87" s="73">
        <f t="shared" si="24"/>
        <v>0</v>
      </c>
      <c r="AA87" s="73">
        <f t="shared" si="24"/>
        <v>0</v>
      </c>
      <c r="AB87" s="73">
        <f t="shared" si="24"/>
        <v>0</v>
      </c>
      <c r="AC87" s="73">
        <f t="shared" si="24"/>
        <v>0</v>
      </c>
      <c r="AD87" s="73">
        <f t="shared" si="24"/>
        <v>0</v>
      </c>
      <c r="AE87" s="73">
        <f t="shared" si="24"/>
        <v>0</v>
      </c>
      <c r="AF87" s="72">
        <f t="shared" si="24"/>
        <v>0</v>
      </c>
    </row>
    <row r="88" spans="2:32" x14ac:dyDescent="0.35">
      <c r="B88" s="356"/>
      <c r="C88" s="352"/>
      <c r="D88" s="357"/>
      <c r="E88" s="357"/>
      <c r="F88" s="352"/>
      <c r="G88" s="366"/>
      <c r="H88" s="352"/>
      <c r="I88" s="334" t="str">
        <f t="shared" si="25"/>
        <v/>
      </c>
      <c r="J88" s="335" t="str">
        <f t="shared" si="26"/>
        <v/>
      </c>
      <c r="K88" s="17"/>
      <c r="L88" s="17"/>
      <c r="M88" s="17"/>
      <c r="N88" s="17"/>
      <c r="O88" s="17"/>
      <c r="P88" s="17"/>
      <c r="Q88" s="17"/>
      <c r="T88" s="71" t="str">
        <f t="shared" si="23"/>
        <v>Bulls #1</v>
      </c>
      <c r="U88" s="70">
        <f t="shared" si="24"/>
        <v>0</v>
      </c>
      <c r="V88" s="70">
        <f t="shared" si="24"/>
        <v>0</v>
      </c>
      <c r="W88" s="70">
        <f t="shared" si="24"/>
        <v>0</v>
      </c>
      <c r="X88" s="70">
        <f t="shared" si="24"/>
        <v>0</v>
      </c>
      <c r="Y88" s="70">
        <f t="shared" si="24"/>
        <v>0</v>
      </c>
      <c r="Z88" s="70">
        <f t="shared" si="24"/>
        <v>0</v>
      </c>
      <c r="AA88" s="70">
        <f t="shared" si="24"/>
        <v>0</v>
      </c>
      <c r="AB88" s="70">
        <f t="shared" si="24"/>
        <v>0</v>
      </c>
      <c r="AC88" s="70">
        <f t="shared" si="24"/>
        <v>0</v>
      </c>
      <c r="AD88" s="70">
        <f t="shared" si="24"/>
        <v>0</v>
      </c>
      <c r="AE88" s="70">
        <f t="shared" si="24"/>
        <v>0</v>
      </c>
      <c r="AF88" s="69">
        <f t="shared" si="24"/>
        <v>0</v>
      </c>
    </row>
    <row r="89" spans="2:32" ht="15" thickBot="1" x14ac:dyDescent="0.4">
      <c r="B89" s="356"/>
      <c r="C89" s="352"/>
      <c r="D89" s="357"/>
      <c r="E89" s="357"/>
      <c r="F89" s="352"/>
      <c r="G89" s="366"/>
      <c r="H89" s="352"/>
      <c r="I89" s="334" t="str">
        <f t="shared" si="25"/>
        <v/>
      </c>
      <c r="J89" s="335" t="str">
        <f t="shared" si="26"/>
        <v/>
      </c>
      <c r="K89" s="17"/>
      <c r="L89" s="17"/>
      <c r="M89" s="17"/>
      <c r="N89" s="17"/>
      <c r="O89" s="17"/>
      <c r="P89" s="17"/>
      <c r="Q89" s="17"/>
    </row>
    <row r="90" spans="2:32" ht="15" customHeight="1" thickBot="1" x14ac:dyDescent="0.4">
      <c r="B90" s="356"/>
      <c r="C90" s="352"/>
      <c r="D90" s="357"/>
      <c r="E90" s="357"/>
      <c r="F90" s="352"/>
      <c r="G90" s="366"/>
      <c r="H90" s="352"/>
      <c r="I90" s="334" t="str">
        <f t="shared" si="25"/>
        <v/>
      </c>
      <c r="J90" s="335" t="str">
        <f t="shared" si="26"/>
        <v/>
      </c>
      <c r="K90" s="17"/>
      <c r="L90" s="17"/>
      <c r="M90" s="17"/>
      <c r="N90" s="17"/>
      <c r="O90" s="17"/>
      <c r="P90" s="17"/>
      <c r="Q90" s="17"/>
      <c r="S90" s="84">
        <f>IF(SUM(U91:AF105)=J131,0,1)</f>
        <v>0</v>
      </c>
      <c r="T90" s="83" t="s">
        <v>102</v>
      </c>
      <c r="U90" s="82" t="str">
        <f>$U$5</f>
        <v>July</v>
      </c>
      <c r="V90" s="82" t="str">
        <f>$V$5</f>
        <v>August</v>
      </c>
      <c r="W90" s="82" t="str">
        <f>$W$5</f>
        <v>September</v>
      </c>
      <c r="X90" s="82" t="str">
        <f>$X$5</f>
        <v>October</v>
      </c>
      <c r="Y90" s="82" t="str">
        <f>$Y$5</f>
        <v>November</v>
      </c>
      <c r="Z90" s="82" t="str">
        <f>$Z$5</f>
        <v>December</v>
      </c>
      <c r="AA90" s="82" t="str">
        <f>$AA$5</f>
        <v>January</v>
      </c>
      <c r="AB90" s="82" t="str">
        <f>$AB$5</f>
        <v>February</v>
      </c>
      <c r="AC90" s="82" t="str">
        <f>$AC$5</f>
        <v>March</v>
      </c>
      <c r="AD90" s="82" t="str">
        <f>$AD$5</f>
        <v>April</v>
      </c>
      <c r="AE90" s="82" t="str">
        <f>$AE$5</f>
        <v>May</v>
      </c>
      <c r="AF90" s="81" t="str">
        <f>$AF$5</f>
        <v>June</v>
      </c>
    </row>
    <row r="91" spans="2:32" x14ac:dyDescent="0.35">
      <c r="B91" s="356"/>
      <c r="C91" s="352"/>
      <c r="D91" s="357"/>
      <c r="E91" s="357"/>
      <c r="F91" s="352"/>
      <c r="G91" s="366"/>
      <c r="H91" s="352"/>
      <c r="I91" s="334" t="str">
        <f t="shared" si="25"/>
        <v/>
      </c>
      <c r="J91" s="335" t="str">
        <f t="shared" si="26"/>
        <v/>
      </c>
      <c r="K91" s="17"/>
      <c r="L91" s="17"/>
      <c r="M91" s="17"/>
      <c r="N91" s="17"/>
      <c r="O91" s="17"/>
      <c r="P91" s="17"/>
      <c r="Q91" s="17"/>
      <c r="T91" s="74" t="str">
        <f t="shared" ref="T91:T105" si="27">T6</f>
        <v>Speys &amp; Culls</v>
      </c>
      <c r="U91" s="73">
        <f t="shared" ref="U91:AF105" si="28">SUMIFS($J$81:$J$130,$B$81:$B$130,$T91,$F$81:$F$130,U$90)</f>
        <v>0</v>
      </c>
      <c r="V91" s="73">
        <f t="shared" si="28"/>
        <v>0</v>
      </c>
      <c r="W91" s="73">
        <f t="shared" si="28"/>
        <v>0</v>
      </c>
      <c r="X91" s="73">
        <f t="shared" si="28"/>
        <v>0</v>
      </c>
      <c r="Y91" s="73">
        <f t="shared" si="28"/>
        <v>0</v>
      </c>
      <c r="Z91" s="73">
        <f t="shared" si="28"/>
        <v>0</v>
      </c>
      <c r="AA91" s="73">
        <f t="shared" si="28"/>
        <v>0</v>
      </c>
      <c r="AB91" s="73">
        <f t="shared" si="28"/>
        <v>0</v>
      </c>
      <c r="AC91" s="73">
        <f t="shared" si="28"/>
        <v>0</v>
      </c>
      <c r="AD91" s="73">
        <f t="shared" si="28"/>
        <v>0</v>
      </c>
      <c r="AE91" s="73">
        <f t="shared" si="28"/>
        <v>0</v>
      </c>
      <c r="AF91" s="72">
        <f t="shared" si="28"/>
        <v>0</v>
      </c>
    </row>
    <row r="92" spans="2:32" x14ac:dyDescent="0.35">
      <c r="B92" s="356"/>
      <c r="C92" s="352"/>
      <c r="D92" s="357"/>
      <c r="E92" s="357"/>
      <c r="F92" s="352"/>
      <c r="G92" s="366"/>
      <c r="H92" s="352"/>
      <c r="I92" s="334" t="str">
        <f t="shared" si="25"/>
        <v/>
      </c>
      <c r="J92" s="335" t="str">
        <f t="shared" si="26"/>
        <v/>
      </c>
      <c r="K92" s="17"/>
      <c r="L92" s="17"/>
      <c r="M92" s="17"/>
      <c r="N92" s="17"/>
      <c r="O92" s="17"/>
      <c r="P92" s="17"/>
      <c r="Q92" s="17"/>
      <c r="T92" s="74" t="str">
        <f t="shared" si="27"/>
        <v>Females #7+</v>
      </c>
      <c r="U92" s="73">
        <f t="shared" si="28"/>
        <v>0</v>
      </c>
      <c r="V92" s="73">
        <f t="shared" si="28"/>
        <v>0</v>
      </c>
      <c r="W92" s="73">
        <f t="shared" si="28"/>
        <v>0</v>
      </c>
      <c r="X92" s="73">
        <f t="shared" si="28"/>
        <v>0</v>
      </c>
      <c r="Y92" s="73">
        <f t="shared" si="28"/>
        <v>0</v>
      </c>
      <c r="Z92" s="73">
        <f t="shared" si="28"/>
        <v>0</v>
      </c>
      <c r="AA92" s="73">
        <f t="shared" si="28"/>
        <v>0</v>
      </c>
      <c r="AB92" s="73">
        <f t="shared" si="28"/>
        <v>0</v>
      </c>
      <c r="AC92" s="73">
        <f t="shared" si="28"/>
        <v>0</v>
      </c>
      <c r="AD92" s="73">
        <f t="shared" si="28"/>
        <v>0</v>
      </c>
      <c r="AE92" s="73">
        <f t="shared" si="28"/>
        <v>0</v>
      </c>
      <c r="AF92" s="72">
        <f t="shared" si="28"/>
        <v>0</v>
      </c>
    </row>
    <row r="93" spans="2:32" x14ac:dyDescent="0.35">
      <c r="B93" s="356"/>
      <c r="C93" s="352"/>
      <c r="D93" s="357"/>
      <c r="E93" s="357"/>
      <c r="F93" s="352"/>
      <c r="G93" s="366"/>
      <c r="H93" s="352"/>
      <c r="I93" s="334" t="str">
        <f t="shared" si="25"/>
        <v/>
      </c>
      <c r="J93" s="335" t="str">
        <f t="shared" si="26"/>
        <v/>
      </c>
      <c r="K93" s="17"/>
      <c r="L93" s="17"/>
      <c r="M93" s="17"/>
      <c r="N93" s="17"/>
      <c r="O93" s="17"/>
      <c r="P93" s="17"/>
      <c r="Q93" s="17"/>
      <c r="T93" s="74" t="str">
        <f t="shared" si="27"/>
        <v>Females #8</v>
      </c>
      <c r="U93" s="73">
        <f t="shared" si="28"/>
        <v>0</v>
      </c>
      <c r="V93" s="73">
        <f t="shared" si="28"/>
        <v>0</v>
      </c>
      <c r="W93" s="73">
        <f t="shared" si="28"/>
        <v>0</v>
      </c>
      <c r="X93" s="73">
        <f t="shared" si="28"/>
        <v>0</v>
      </c>
      <c r="Y93" s="73">
        <f t="shared" si="28"/>
        <v>0</v>
      </c>
      <c r="Z93" s="73">
        <f t="shared" si="28"/>
        <v>0</v>
      </c>
      <c r="AA93" s="73">
        <f t="shared" si="28"/>
        <v>0</v>
      </c>
      <c r="AB93" s="73">
        <f t="shared" si="28"/>
        <v>0</v>
      </c>
      <c r="AC93" s="73">
        <f t="shared" si="28"/>
        <v>0</v>
      </c>
      <c r="AD93" s="73">
        <f t="shared" si="28"/>
        <v>0</v>
      </c>
      <c r="AE93" s="73">
        <f t="shared" si="28"/>
        <v>0</v>
      </c>
      <c r="AF93" s="72">
        <f t="shared" si="28"/>
        <v>0</v>
      </c>
    </row>
    <row r="94" spans="2:32" x14ac:dyDescent="0.35">
      <c r="B94" s="356"/>
      <c r="C94" s="352"/>
      <c r="D94" s="357"/>
      <c r="E94" s="357"/>
      <c r="F94" s="352"/>
      <c r="G94" s="366"/>
      <c r="H94" s="352"/>
      <c r="I94" s="334" t="str">
        <f t="shared" si="25"/>
        <v/>
      </c>
      <c r="J94" s="335" t="str">
        <f t="shared" si="26"/>
        <v/>
      </c>
      <c r="K94" s="17"/>
      <c r="L94" s="17"/>
      <c r="M94" s="17"/>
      <c r="N94" s="17"/>
      <c r="O94" s="17"/>
      <c r="P94" s="17"/>
      <c r="Q94" s="17"/>
      <c r="T94" s="74" t="str">
        <f t="shared" si="27"/>
        <v>Females #9</v>
      </c>
      <c r="U94" s="73">
        <f t="shared" si="28"/>
        <v>0</v>
      </c>
      <c r="V94" s="73">
        <f t="shared" si="28"/>
        <v>0</v>
      </c>
      <c r="W94" s="73">
        <f t="shared" si="28"/>
        <v>0</v>
      </c>
      <c r="X94" s="73">
        <f t="shared" si="28"/>
        <v>0</v>
      </c>
      <c r="Y94" s="73">
        <f t="shared" si="28"/>
        <v>0</v>
      </c>
      <c r="Z94" s="73">
        <f t="shared" si="28"/>
        <v>0</v>
      </c>
      <c r="AA94" s="73">
        <f t="shared" si="28"/>
        <v>0</v>
      </c>
      <c r="AB94" s="73">
        <f t="shared" si="28"/>
        <v>0</v>
      </c>
      <c r="AC94" s="73">
        <f t="shared" si="28"/>
        <v>0</v>
      </c>
      <c r="AD94" s="73">
        <f t="shared" si="28"/>
        <v>0</v>
      </c>
      <c r="AE94" s="73">
        <f t="shared" si="28"/>
        <v>35000</v>
      </c>
      <c r="AF94" s="72">
        <f t="shared" si="28"/>
        <v>0</v>
      </c>
    </row>
    <row r="95" spans="2:32" x14ac:dyDescent="0.35">
      <c r="B95" s="356"/>
      <c r="C95" s="352"/>
      <c r="D95" s="357"/>
      <c r="E95" s="357"/>
      <c r="F95" s="352"/>
      <c r="G95" s="366"/>
      <c r="H95" s="352"/>
      <c r="I95" s="334" t="str">
        <f t="shared" si="25"/>
        <v/>
      </c>
      <c r="J95" s="335" t="str">
        <f t="shared" si="26"/>
        <v/>
      </c>
      <c r="K95" s="17"/>
      <c r="L95" s="17"/>
      <c r="M95" s="17"/>
      <c r="N95" s="17"/>
      <c r="O95" s="17"/>
      <c r="P95" s="17"/>
      <c r="Q95" s="17"/>
      <c r="T95" s="74" t="str">
        <f t="shared" si="27"/>
        <v>Females #0</v>
      </c>
      <c r="U95" s="73">
        <f t="shared" si="28"/>
        <v>0</v>
      </c>
      <c r="V95" s="73">
        <f t="shared" si="28"/>
        <v>0</v>
      </c>
      <c r="W95" s="73">
        <f t="shared" si="28"/>
        <v>0</v>
      </c>
      <c r="X95" s="73">
        <f t="shared" si="28"/>
        <v>0</v>
      </c>
      <c r="Y95" s="73">
        <f t="shared" si="28"/>
        <v>0</v>
      </c>
      <c r="Z95" s="73">
        <f t="shared" si="28"/>
        <v>0</v>
      </c>
      <c r="AA95" s="73">
        <f t="shared" si="28"/>
        <v>0</v>
      </c>
      <c r="AB95" s="73">
        <f t="shared" si="28"/>
        <v>0</v>
      </c>
      <c r="AC95" s="73">
        <f t="shared" si="28"/>
        <v>0</v>
      </c>
      <c r="AD95" s="73">
        <f t="shared" si="28"/>
        <v>0</v>
      </c>
      <c r="AE95" s="73">
        <f t="shared" si="28"/>
        <v>0</v>
      </c>
      <c r="AF95" s="72">
        <f t="shared" si="28"/>
        <v>0</v>
      </c>
    </row>
    <row r="96" spans="2:32" x14ac:dyDescent="0.35">
      <c r="B96" s="356"/>
      <c r="C96" s="352"/>
      <c r="D96" s="357"/>
      <c r="E96" s="357"/>
      <c r="F96" s="352"/>
      <c r="G96" s="366"/>
      <c r="H96" s="352"/>
      <c r="I96" s="334" t="str">
        <f t="shared" si="25"/>
        <v/>
      </c>
      <c r="J96" s="335" t="str">
        <f t="shared" si="26"/>
        <v/>
      </c>
      <c r="K96" s="17"/>
      <c r="L96" s="17"/>
      <c r="M96" s="17"/>
      <c r="N96" s="17"/>
      <c r="O96" s="17"/>
      <c r="P96" s="17"/>
      <c r="Q96" s="17"/>
      <c r="T96" s="74" t="str">
        <f t="shared" si="27"/>
        <v>Females #1</v>
      </c>
      <c r="U96" s="73">
        <f t="shared" si="28"/>
        <v>0</v>
      </c>
      <c r="V96" s="73">
        <f t="shared" si="28"/>
        <v>0</v>
      </c>
      <c r="W96" s="73">
        <f t="shared" si="28"/>
        <v>0</v>
      </c>
      <c r="X96" s="73">
        <f t="shared" si="28"/>
        <v>0</v>
      </c>
      <c r="Y96" s="73">
        <f t="shared" si="28"/>
        <v>0</v>
      </c>
      <c r="Z96" s="73">
        <f t="shared" si="28"/>
        <v>0</v>
      </c>
      <c r="AA96" s="73">
        <f t="shared" si="28"/>
        <v>0</v>
      </c>
      <c r="AB96" s="73">
        <f t="shared" si="28"/>
        <v>0</v>
      </c>
      <c r="AC96" s="73">
        <f t="shared" si="28"/>
        <v>0</v>
      </c>
      <c r="AD96" s="73">
        <f t="shared" si="28"/>
        <v>0</v>
      </c>
      <c r="AE96" s="73">
        <f t="shared" si="28"/>
        <v>0</v>
      </c>
      <c r="AF96" s="72">
        <f t="shared" si="28"/>
        <v>0</v>
      </c>
    </row>
    <row r="97" spans="2:33" x14ac:dyDescent="0.35">
      <c r="B97" s="356"/>
      <c r="C97" s="352"/>
      <c r="D97" s="357"/>
      <c r="E97" s="357"/>
      <c r="F97" s="352"/>
      <c r="G97" s="366"/>
      <c r="H97" s="352"/>
      <c r="I97" s="334" t="str">
        <f t="shared" si="25"/>
        <v/>
      </c>
      <c r="J97" s="335" t="str">
        <f t="shared" si="26"/>
        <v/>
      </c>
      <c r="K97" s="17"/>
      <c r="L97" s="17"/>
      <c r="M97" s="17"/>
      <c r="N97" s="17"/>
      <c r="O97" s="17"/>
      <c r="P97" s="17"/>
      <c r="Q97" s="17"/>
      <c r="T97" s="74" t="str">
        <f t="shared" si="27"/>
        <v>Mixed #1</v>
      </c>
      <c r="U97" s="73">
        <f t="shared" si="28"/>
        <v>0</v>
      </c>
      <c r="V97" s="73">
        <f t="shared" si="28"/>
        <v>0</v>
      </c>
      <c r="W97" s="73">
        <f t="shared" si="28"/>
        <v>0</v>
      </c>
      <c r="X97" s="73">
        <f t="shared" si="28"/>
        <v>0</v>
      </c>
      <c r="Y97" s="73">
        <f t="shared" si="28"/>
        <v>0</v>
      </c>
      <c r="Z97" s="73">
        <f t="shared" si="28"/>
        <v>0</v>
      </c>
      <c r="AA97" s="73">
        <f t="shared" si="28"/>
        <v>0</v>
      </c>
      <c r="AB97" s="73">
        <f t="shared" si="28"/>
        <v>0</v>
      </c>
      <c r="AC97" s="73">
        <f t="shared" si="28"/>
        <v>0</v>
      </c>
      <c r="AD97" s="73">
        <f t="shared" si="28"/>
        <v>0</v>
      </c>
      <c r="AE97" s="73">
        <f t="shared" si="28"/>
        <v>0</v>
      </c>
      <c r="AF97" s="72">
        <f t="shared" si="28"/>
        <v>0</v>
      </c>
    </row>
    <row r="98" spans="2:33" x14ac:dyDescent="0.35">
      <c r="B98" s="356"/>
      <c r="C98" s="352"/>
      <c r="D98" s="357"/>
      <c r="E98" s="357"/>
      <c r="F98" s="352"/>
      <c r="G98" s="366"/>
      <c r="H98" s="352"/>
      <c r="I98" s="334" t="str">
        <f t="shared" si="25"/>
        <v/>
      </c>
      <c r="J98" s="335" t="str">
        <f t="shared" si="26"/>
        <v/>
      </c>
      <c r="K98" s="17"/>
      <c r="L98" s="17"/>
      <c r="M98" s="17"/>
      <c r="N98" s="17"/>
      <c r="O98" s="17"/>
      <c r="P98" s="17"/>
      <c r="Q98" s="17"/>
      <c r="T98" s="74" t="str">
        <f t="shared" si="27"/>
        <v>Steers #8+</v>
      </c>
      <c r="U98" s="73">
        <f t="shared" si="28"/>
        <v>0</v>
      </c>
      <c r="V98" s="73">
        <f t="shared" si="28"/>
        <v>0</v>
      </c>
      <c r="W98" s="73">
        <f t="shared" si="28"/>
        <v>0</v>
      </c>
      <c r="X98" s="73">
        <f t="shared" si="28"/>
        <v>0</v>
      </c>
      <c r="Y98" s="73">
        <f t="shared" si="28"/>
        <v>0</v>
      </c>
      <c r="Z98" s="73">
        <f t="shared" si="28"/>
        <v>0</v>
      </c>
      <c r="AA98" s="73">
        <f t="shared" si="28"/>
        <v>0</v>
      </c>
      <c r="AB98" s="73">
        <f t="shared" si="28"/>
        <v>0</v>
      </c>
      <c r="AC98" s="73">
        <f t="shared" si="28"/>
        <v>0</v>
      </c>
      <c r="AD98" s="73">
        <f t="shared" si="28"/>
        <v>0</v>
      </c>
      <c r="AE98" s="73">
        <f t="shared" si="28"/>
        <v>0</v>
      </c>
      <c r="AF98" s="72">
        <f t="shared" si="28"/>
        <v>0</v>
      </c>
    </row>
    <row r="99" spans="2:33" x14ac:dyDescent="0.35">
      <c r="B99" s="356"/>
      <c r="C99" s="352"/>
      <c r="D99" s="357"/>
      <c r="E99" s="357"/>
      <c r="F99" s="352"/>
      <c r="G99" s="366"/>
      <c r="H99" s="352"/>
      <c r="I99" s="334" t="str">
        <f t="shared" si="25"/>
        <v/>
      </c>
      <c r="J99" s="335" t="str">
        <f t="shared" si="26"/>
        <v/>
      </c>
      <c r="K99" s="17"/>
      <c r="L99" s="17"/>
      <c r="M99" s="17"/>
      <c r="N99" s="17"/>
      <c r="O99" s="17"/>
      <c r="P99" s="17"/>
      <c r="Q99" s="17"/>
      <c r="T99" s="74" t="str">
        <f t="shared" si="27"/>
        <v>Steers #9</v>
      </c>
      <c r="U99" s="73">
        <f t="shared" si="28"/>
        <v>0</v>
      </c>
      <c r="V99" s="73">
        <f t="shared" si="28"/>
        <v>0</v>
      </c>
      <c r="W99" s="73">
        <f t="shared" si="28"/>
        <v>0</v>
      </c>
      <c r="X99" s="73">
        <f t="shared" si="28"/>
        <v>0</v>
      </c>
      <c r="Y99" s="73">
        <f t="shared" si="28"/>
        <v>0</v>
      </c>
      <c r="Z99" s="73">
        <f t="shared" si="28"/>
        <v>0</v>
      </c>
      <c r="AA99" s="73">
        <f t="shared" si="28"/>
        <v>0</v>
      </c>
      <c r="AB99" s="73">
        <f t="shared" si="28"/>
        <v>0</v>
      </c>
      <c r="AC99" s="73">
        <f t="shared" si="28"/>
        <v>0</v>
      </c>
      <c r="AD99" s="73">
        <f t="shared" si="28"/>
        <v>0</v>
      </c>
      <c r="AE99" s="73">
        <f t="shared" si="28"/>
        <v>0</v>
      </c>
      <c r="AF99" s="72">
        <f t="shared" si="28"/>
        <v>0</v>
      </c>
    </row>
    <row r="100" spans="2:33" x14ac:dyDescent="0.35">
      <c r="B100" s="356"/>
      <c r="C100" s="352"/>
      <c r="D100" s="357"/>
      <c r="E100" s="357"/>
      <c r="F100" s="352"/>
      <c r="G100" s="366"/>
      <c r="H100" s="352"/>
      <c r="I100" s="334" t="str">
        <f t="shared" si="25"/>
        <v/>
      </c>
      <c r="J100" s="335" t="str">
        <f t="shared" si="26"/>
        <v/>
      </c>
      <c r="K100" s="17"/>
      <c r="L100" s="17"/>
      <c r="M100" s="17"/>
      <c r="N100" s="17"/>
      <c r="O100" s="17"/>
      <c r="P100" s="17"/>
      <c r="Q100" s="17"/>
      <c r="T100" s="74" t="str">
        <f t="shared" si="27"/>
        <v>Steers #0</v>
      </c>
      <c r="U100" s="73">
        <f t="shared" si="28"/>
        <v>0</v>
      </c>
      <c r="V100" s="73">
        <f t="shared" si="28"/>
        <v>0</v>
      </c>
      <c r="W100" s="73">
        <f t="shared" si="28"/>
        <v>0</v>
      </c>
      <c r="X100" s="73">
        <f t="shared" si="28"/>
        <v>0</v>
      </c>
      <c r="Y100" s="73">
        <f t="shared" si="28"/>
        <v>0</v>
      </c>
      <c r="Z100" s="73">
        <f t="shared" si="28"/>
        <v>0</v>
      </c>
      <c r="AA100" s="73">
        <f t="shared" si="28"/>
        <v>0</v>
      </c>
      <c r="AB100" s="73">
        <f t="shared" si="28"/>
        <v>0</v>
      </c>
      <c r="AC100" s="73">
        <f t="shared" si="28"/>
        <v>0</v>
      </c>
      <c r="AD100" s="73">
        <f t="shared" si="28"/>
        <v>0</v>
      </c>
      <c r="AE100" s="73">
        <f t="shared" si="28"/>
        <v>0</v>
      </c>
      <c r="AF100" s="72">
        <f t="shared" si="28"/>
        <v>0</v>
      </c>
    </row>
    <row r="101" spans="2:33" x14ac:dyDescent="0.35">
      <c r="B101" s="356"/>
      <c r="C101" s="352"/>
      <c r="D101" s="357"/>
      <c r="E101" s="357"/>
      <c r="F101" s="352"/>
      <c r="G101" s="366"/>
      <c r="H101" s="352"/>
      <c r="I101" s="334" t="str">
        <f t="shared" si="25"/>
        <v/>
      </c>
      <c r="J101" s="335" t="str">
        <f t="shared" si="26"/>
        <v/>
      </c>
      <c r="K101" s="17"/>
      <c r="L101" s="17"/>
      <c r="M101" s="17"/>
      <c r="N101" s="17"/>
      <c r="O101" s="17"/>
      <c r="P101" s="17"/>
      <c r="Q101" s="17"/>
      <c r="T101" s="74" t="str">
        <f t="shared" si="27"/>
        <v>Steers #1</v>
      </c>
      <c r="U101" s="73">
        <f t="shared" si="28"/>
        <v>0</v>
      </c>
      <c r="V101" s="73">
        <f t="shared" si="28"/>
        <v>0</v>
      </c>
      <c r="W101" s="73">
        <f t="shared" si="28"/>
        <v>0</v>
      </c>
      <c r="X101" s="73">
        <f t="shared" si="28"/>
        <v>0</v>
      </c>
      <c r="Y101" s="73">
        <f t="shared" si="28"/>
        <v>0</v>
      </c>
      <c r="Z101" s="73">
        <f t="shared" si="28"/>
        <v>0</v>
      </c>
      <c r="AA101" s="73">
        <f t="shared" si="28"/>
        <v>0</v>
      </c>
      <c r="AB101" s="73">
        <f t="shared" si="28"/>
        <v>0</v>
      </c>
      <c r="AC101" s="73">
        <f t="shared" si="28"/>
        <v>0</v>
      </c>
      <c r="AD101" s="73">
        <f t="shared" si="28"/>
        <v>0</v>
      </c>
      <c r="AE101" s="73">
        <f t="shared" si="28"/>
        <v>0</v>
      </c>
      <c r="AF101" s="72">
        <f t="shared" si="28"/>
        <v>0</v>
      </c>
    </row>
    <row r="102" spans="2:33" x14ac:dyDescent="0.35">
      <c r="B102" s="356"/>
      <c r="C102" s="352"/>
      <c r="D102" s="357"/>
      <c r="E102" s="357"/>
      <c r="F102" s="352"/>
      <c r="G102" s="366"/>
      <c r="H102" s="352"/>
      <c r="I102" s="334" t="str">
        <f t="shared" si="25"/>
        <v/>
      </c>
      <c r="J102" s="335" t="str">
        <f t="shared" si="26"/>
        <v/>
      </c>
      <c r="K102" s="17"/>
      <c r="L102" s="17"/>
      <c r="M102" s="17"/>
      <c r="N102" s="17"/>
      <c r="O102" s="17"/>
      <c r="P102" s="17"/>
      <c r="Q102" s="17"/>
      <c r="T102" s="74" t="str">
        <f t="shared" si="27"/>
        <v>Bulls #8+</v>
      </c>
      <c r="U102" s="73">
        <f t="shared" si="28"/>
        <v>0</v>
      </c>
      <c r="V102" s="73">
        <f t="shared" si="28"/>
        <v>0</v>
      </c>
      <c r="W102" s="73">
        <f t="shared" si="28"/>
        <v>0</v>
      </c>
      <c r="X102" s="73">
        <f t="shared" si="28"/>
        <v>0</v>
      </c>
      <c r="Y102" s="73">
        <f t="shared" si="28"/>
        <v>0</v>
      </c>
      <c r="Z102" s="73">
        <f t="shared" si="28"/>
        <v>0</v>
      </c>
      <c r="AA102" s="73">
        <f t="shared" si="28"/>
        <v>0</v>
      </c>
      <c r="AB102" s="73">
        <f t="shared" si="28"/>
        <v>0</v>
      </c>
      <c r="AC102" s="73">
        <f t="shared" si="28"/>
        <v>0</v>
      </c>
      <c r="AD102" s="73">
        <f t="shared" si="28"/>
        <v>0</v>
      </c>
      <c r="AE102" s="73">
        <f t="shared" si="28"/>
        <v>0</v>
      </c>
      <c r="AF102" s="72">
        <f t="shared" si="28"/>
        <v>0</v>
      </c>
    </row>
    <row r="103" spans="2:33" x14ac:dyDescent="0.35">
      <c r="B103" s="356"/>
      <c r="C103" s="352"/>
      <c r="D103" s="357"/>
      <c r="E103" s="357"/>
      <c r="F103" s="352"/>
      <c r="G103" s="366"/>
      <c r="H103" s="352"/>
      <c r="I103" s="334" t="str">
        <f t="shared" si="25"/>
        <v/>
      </c>
      <c r="J103" s="335" t="str">
        <f t="shared" si="26"/>
        <v/>
      </c>
      <c r="K103" s="17"/>
      <c r="L103" s="17"/>
      <c r="M103" s="17"/>
      <c r="N103" s="17"/>
      <c r="O103" s="17"/>
      <c r="P103" s="17"/>
      <c r="Q103" s="17"/>
      <c r="T103" s="74" t="str">
        <f t="shared" si="27"/>
        <v>Bulls #9</v>
      </c>
      <c r="U103" s="73">
        <f t="shared" si="28"/>
        <v>0</v>
      </c>
      <c r="V103" s="73">
        <f t="shared" si="28"/>
        <v>0</v>
      </c>
      <c r="W103" s="73">
        <f t="shared" si="28"/>
        <v>3250</v>
      </c>
      <c r="X103" s="73">
        <f t="shared" si="28"/>
        <v>0</v>
      </c>
      <c r="Y103" s="73">
        <f t="shared" si="28"/>
        <v>0</v>
      </c>
      <c r="Z103" s="73">
        <f t="shared" si="28"/>
        <v>0</v>
      </c>
      <c r="AA103" s="73">
        <f t="shared" si="28"/>
        <v>0</v>
      </c>
      <c r="AB103" s="73">
        <f t="shared" si="28"/>
        <v>0</v>
      </c>
      <c r="AC103" s="73">
        <f t="shared" si="28"/>
        <v>0</v>
      </c>
      <c r="AD103" s="73">
        <f t="shared" si="28"/>
        <v>0</v>
      </c>
      <c r="AE103" s="73">
        <f t="shared" si="28"/>
        <v>0</v>
      </c>
      <c r="AF103" s="72">
        <f t="shared" si="28"/>
        <v>0</v>
      </c>
    </row>
    <row r="104" spans="2:33" x14ac:dyDescent="0.35">
      <c r="B104" s="356"/>
      <c r="C104" s="352"/>
      <c r="D104" s="357"/>
      <c r="E104" s="357"/>
      <c r="F104" s="352"/>
      <c r="G104" s="366"/>
      <c r="H104" s="352"/>
      <c r="I104" s="334" t="str">
        <f t="shared" si="25"/>
        <v/>
      </c>
      <c r="J104" s="335" t="str">
        <f t="shared" si="26"/>
        <v/>
      </c>
      <c r="K104" s="17"/>
      <c r="L104" s="17"/>
      <c r="M104" s="17"/>
      <c r="N104" s="17"/>
      <c r="O104" s="17"/>
      <c r="P104" s="17"/>
      <c r="Q104" s="17"/>
      <c r="T104" s="74" t="str">
        <f t="shared" si="27"/>
        <v>Bulls #0</v>
      </c>
      <c r="U104" s="73">
        <f t="shared" si="28"/>
        <v>0</v>
      </c>
      <c r="V104" s="73">
        <f t="shared" si="28"/>
        <v>0</v>
      </c>
      <c r="W104" s="73">
        <f t="shared" si="28"/>
        <v>0</v>
      </c>
      <c r="X104" s="73">
        <f t="shared" si="28"/>
        <v>0</v>
      </c>
      <c r="Y104" s="73">
        <f t="shared" si="28"/>
        <v>0</v>
      </c>
      <c r="Z104" s="73">
        <f t="shared" si="28"/>
        <v>0</v>
      </c>
      <c r="AA104" s="73">
        <f t="shared" si="28"/>
        <v>0</v>
      </c>
      <c r="AB104" s="73">
        <f t="shared" si="28"/>
        <v>0</v>
      </c>
      <c r="AC104" s="73">
        <f t="shared" si="28"/>
        <v>0</v>
      </c>
      <c r="AD104" s="73">
        <f t="shared" si="28"/>
        <v>0</v>
      </c>
      <c r="AE104" s="73">
        <f t="shared" si="28"/>
        <v>0</v>
      </c>
      <c r="AF104" s="72">
        <f t="shared" si="28"/>
        <v>0</v>
      </c>
    </row>
    <row r="105" spans="2:33" x14ac:dyDescent="0.35">
      <c r="B105" s="356"/>
      <c r="C105" s="352"/>
      <c r="D105" s="357"/>
      <c r="E105" s="357"/>
      <c r="F105" s="352"/>
      <c r="G105" s="366"/>
      <c r="H105" s="352"/>
      <c r="I105" s="334" t="str">
        <f t="shared" si="25"/>
        <v/>
      </c>
      <c r="J105" s="335" t="str">
        <f t="shared" si="26"/>
        <v/>
      </c>
      <c r="K105" s="17"/>
      <c r="L105" s="17"/>
      <c r="M105" s="17"/>
      <c r="N105" s="17"/>
      <c r="O105" s="17"/>
      <c r="P105" s="17"/>
      <c r="Q105" s="17"/>
      <c r="T105" s="71" t="str">
        <f t="shared" si="27"/>
        <v>Bulls #1</v>
      </c>
      <c r="U105" s="70">
        <f t="shared" si="28"/>
        <v>0</v>
      </c>
      <c r="V105" s="70">
        <f t="shared" si="28"/>
        <v>0</v>
      </c>
      <c r="W105" s="70">
        <f t="shared" si="28"/>
        <v>0</v>
      </c>
      <c r="X105" s="70">
        <f t="shared" si="28"/>
        <v>0</v>
      </c>
      <c r="Y105" s="70">
        <f t="shared" si="28"/>
        <v>0</v>
      </c>
      <c r="Z105" s="70">
        <f t="shared" si="28"/>
        <v>0</v>
      </c>
      <c r="AA105" s="70">
        <f t="shared" si="28"/>
        <v>0</v>
      </c>
      <c r="AB105" s="70">
        <f t="shared" si="28"/>
        <v>0</v>
      </c>
      <c r="AC105" s="70">
        <f t="shared" si="28"/>
        <v>0</v>
      </c>
      <c r="AD105" s="70">
        <f t="shared" si="28"/>
        <v>0</v>
      </c>
      <c r="AE105" s="70">
        <f t="shared" si="28"/>
        <v>0</v>
      </c>
      <c r="AF105" s="69">
        <f t="shared" si="28"/>
        <v>0</v>
      </c>
    </row>
    <row r="106" spans="2:33" x14ac:dyDescent="0.35">
      <c r="B106" s="356"/>
      <c r="C106" s="352"/>
      <c r="D106" s="357"/>
      <c r="E106" s="357"/>
      <c r="F106" s="352"/>
      <c r="G106" s="366"/>
      <c r="H106" s="352"/>
      <c r="I106" s="334" t="str">
        <f t="shared" si="25"/>
        <v/>
      </c>
      <c r="J106" s="335" t="str">
        <f t="shared" si="26"/>
        <v/>
      </c>
      <c r="K106" s="17"/>
      <c r="L106" s="17"/>
      <c r="M106" s="17"/>
      <c r="N106" s="17"/>
      <c r="O106" s="17"/>
      <c r="P106" s="17"/>
      <c r="Q106" s="17"/>
    </row>
    <row r="107" spans="2:33" x14ac:dyDescent="0.35">
      <c r="B107" s="356"/>
      <c r="C107" s="352"/>
      <c r="D107" s="357"/>
      <c r="E107" s="357"/>
      <c r="F107" s="352"/>
      <c r="G107" s="366"/>
      <c r="H107" s="352"/>
      <c r="I107" s="334" t="str">
        <f t="shared" si="25"/>
        <v/>
      </c>
      <c r="J107" s="335" t="str">
        <f t="shared" si="26"/>
        <v/>
      </c>
      <c r="K107" s="17"/>
      <c r="L107" s="17"/>
      <c r="M107" s="17"/>
      <c r="N107" s="17"/>
      <c r="O107" s="17"/>
      <c r="P107" s="17"/>
      <c r="Q107" s="17"/>
      <c r="T107" s="44" t="s">
        <v>90</v>
      </c>
      <c r="U107" s="43" t="str">
        <f>$U$5</f>
        <v>July</v>
      </c>
      <c r="V107" s="43" t="str">
        <f>$V$5</f>
        <v>August</v>
      </c>
      <c r="W107" s="43" t="str">
        <f>$W$5</f>
        <v>September</v>
      </c>
      <c r="X107" s="43" t="str">
        <f>$X$5</f>
        <v>October</v>
      </c>
      <c r="Y107" s="43" t="str">
        <f>$Y$5</f>
        <v>November</v>
      </c>
      <c r="Z107" s="43" t="str">
        <f>$Z$5</f>
        <v>December</v>
      </c>
      <c r="AA107" s="43" t="str">
        <f>$AA$5</f>
        <v>January</v>
      </c>
      <c r="AB107" s="43" t="str">
        <f>$AB$5</f>
        <v>February</v>
      </c>
      <c r="AC107" s="43" t="str">
        <f>$AC$5</f>
        <v>March</v>
      </c>
      <c r="AD107" s="43" t="str">
        <f>$AD$5</f>
        <v>April</v>
      </c>
      <c r="AE107" s="43" t="str">
        <f>$AE$5</f>
        <v>May</v>
      </c>
      <c r="AF107" s="43" t="str">
        <f>$AF$5</f>
        <v>June</v>
      </c>
    </row>
    <row r="108" spans="2:33" x14ac:dyDescent="0.35">
      <c r="B108" s="356"/>
      <c r="C108" s="352"/>
      <c r="D108" s="357"/>
      <c r="E108" s="357"/>
      <c r="F108" s="352"/>
      <c r="G108" s="366"/>
      <c r="H108" s="352"/>
      <c r="I108" s="334" t="str">
        <f t="shared" si="25"/>
        <v/>
      </c>
      <c r="J108" s="335" t="str">
        <f t="shared" si="26"/>
        <v/>
      </c>
      <c r="K108" s="17"/>
      <c r="L108" s="17"/>
      <c r="M108" s="17"/>
      <c r="N108" s="17"/>
      <c r="O108" s="17"/>
      <c r="P108" s="17"/>
      <c r="Q108" s="17"/>
      <c r="T108" s="58" t="s">
        <v>85</v>
      </c>
      <c r="U108" s="42">
        <f t="shared" ref="U108:AF108" si="29">SUM(U13:U20)</f>
        <v>0</v>
      </c>
      <c r="V108" s="57">
        <f t="shared" si="29"/>
        <v>324</v>
      </c>
      <c r="W108" s="57">
        <f t="shared" si="29"/>
        <v>0</v>
      </c>
      <c r="X108" s="57">
        <f t="shared" si="29"/>
        <v>0</v>
      </c>
      <c r="Y108" s="57">
        <f t="shared" si="29"/>
        <v>0</v>
      </c>
      <c r="Z108" s="57">
        <f t="shared" si="29"/>
        <v>0</v>
      </c>
      <c r="AA108" s="57">
        <f t="shared" si="29"/>
        <v>0</v>
      </c>
      <c r="AB108" s="57">
        <f t="shared" si="29"/>
        <v>0</v>
      </c>
      <c r="AC108" s="57">
        <f t="shared" si="29"/>
        <v>0</v>
      </c>
      <c r="AD108" s="57">
        <f t="shared" si="29"/>
        <v>0</v>
      </c>
      <c r="AE108" s="57">
        <f t="shared" si="29"/>
        <v>0</v>
      </c>
      <c r="AF108" s="56">
        <f t="shared" si="29"/>
        <v>0</v>
      </c>
      <c r="AG108" s="55">
        <f>SUM(U108:AF108)</f>
        <v>324</v>
      </c>
    </row>
    <row r="109" spans="2:33" x14ac:dyDescent="0.35">
      <c r="B109" s="356"/>
      <c r="C109" s="352"/>
      <c r="D109" s="357"/>
      <c r="E109" s="357"/>
      <c r="F109" s="352"/>
      <c r="G109" s="366"/>
      <c r="H109" s="352"/>
      <c r="I109" s="334" t="str">
        <f t="shared" si="25"/>
        <v/>
      </c>
      <c r="J109" s="335" t="str">
        <f t="shared" si="26"/>
        <v/>
      </c>
      <c r="K109" s="17"/>
      <c r="L109" s="17"/>
      <c r="M109" s="17"/>
      <c r="N109" s="17"/>
      <c r="O109" s="17"/>
      <c r="P109" s="17"/>
      <c r="Q109" s="17"/>
      <c r="T109" s="54" t="s">
        <v>84</v>
      </c>
      <c r="U109" s="53">
        <f>SUM(U47:U54)</f>
        <v>0</v>
      </c>
      <c r="V109" s="52">
        <f t="shared" ref="V109:AF109" si="30">SUM(V47:V54)</f>
        <v>483912</v>
      </c>
      <c r="W109" s="52">
        <f t="shared" si="30"/>
        <v>0</v>
      </c>
      <c r="X109" s="52">
        <f t="shared" si="30"/>
        <v>0</v>
      </c>
      <c r="Y109" s="52">
        <f t="shared" si="30"/>
        <v>0</v>
      </c>
      <c r="Z109" s="52">
        <f t="shared" si="30"/>
        <v>0</v>
      </c>
      <c r="AA109" s="52">
        <f t="shared" si="30"/>
        <v>0</v>
      </c>
      <c r="AB109" s="52">
        <f t="shared" si="30"/>
        <v>0</v>
      </c>
      <c r="AC109" s="52">
        <f t="shared" si="30"/>
        <v>0</v>
      </c>
      <c r="AD109" s="52">
        <f t="shared" si="30"/>
        <v>0</v>
      </c>
      <c r="AE109" s="52">
        <f t="shared" si="30"/>
        <v>0</v>
      </c>
      <c r="AF109" s="51">
        <f t="shared" si="30"/>
        <v>0</v>
      </c>
      <c r="AG109" s="50">
        <f>SUM(U109:AF109)</f>
        <v>483912</v>
      </c>
    </row>
    <row r="110" spans="2:33" x14ac:dyDescent="0.35">
      <c r="B110" s="356"/>
      <c r="C110" s="352"/>
      <c r="D110" s="357"/>
      <c r="E110" s="357"/>
      <c r="F110" s="352"/>
      <c r="G110" s="366"/>
      <c r="H110" s="352"/>
      <c r="I110" s="334" t="str">
        <f t="shared" si="25"/>
        <v/>
      </c>
      <c r="J110" s="335" t="str">
        <f t="shared" si="26"/>
        <v/>
      </c>
      <c r="K110" s="17"/>
      <c r="L110" s="17"/>
      <c r="M110" s="17"/>
      <c r="N110" s="17"/>
      <c r="O110" s="17"/>
      <c r="P110" s="17"/>
      <c r="Q110" s="17"/>
      <c r="T110" s="54" t="s">
        <v>83</v>
      </c>
      <c r="U110" s="68">
        <f>SUM(U81:U88)</f>
        <v>0</v>
      </c>
      <c r="V110" s="38">
        <f t="shared" ref="V110:AF110" si="31">SUM(V81:V88)</f>
        <v>133920</v>
      </c>
      <c r="W110" s="38">
        <f t="shared" si="31"/>
        <v>0</v>
      </c>
      <c r="X110" s="38">
        <f t="shared" si="31"/>
        <v>0</v>
      </c>
      <c r="Y110" s="38">
        <f t="shared" si="31"/>
        <v>0</v>
      </c>
      <c r="Z110" s="38">
        <f t="shared" si="31"/>
        <v>0</v>
      </c>
      <c r="AA110" s="38">
        <f t="shared" si="31"/>
        <v>0</v>
      </c>
      <c r="AB110" s="38">
        <f t="shared" si="31"/>
        <v>0</v>
      </c>
      <c r="AC110" s="38">
        <f t="shared" si="31"/>
        <v>0</v>
      </c>
      <c r="AD110" s="38">
        <f t="shared" si="31"/>
        <v>0</v>
      </c>
      <c r="AE110" s="38">
        <f t="shared" si="31"/>
        <v>0</v>
      </c>
      <c r="AF110" s="37">
        <f t="shared" si="31"/>
        <v>0</v>
      </c>
      <c r="AG110" s="67">
        <f>SUM(U110:AF110)</f>
        <v>133920</v>
      </c>
    </row>
    <row r="111" spans="2:33" x14ac:dyDescent="0.35">
      <c r="B111" s="356"/>
      <c r="C111" s="352"/>
      <c r="D111" s="357"/>
      <c r="E111" s="357"/>
      <c r="F111" s="352"/>
      <c r="G111" s="366"/>
      <c r="H111" s="352"/>
      <c r="I111" s="334" t="str">
        <f t="shared" si="25"/>
        <v/>
      </c>
      <c r="J111" s="335" t="str">
        <f t="shared" si="26"/>
        <v/>
      </c>
      <c r="K111" s="17"/>
      <c r="L111" s="17"/>
      <c r="M111" s="17"/>
      <c r="N111" s="17"/>
      <c r="O111" s="17"/>
      <c r="P111" s="17"/>
      <c r="Q111" s="17"/>
      <c r="T111" s="54" t="s">
        <v>88</v>
      </c>
      <c r="U111" s="66" t="str">
        <f t="shared" ref="U111:AF111" si="32">IF(U109=0,"",U109/U110)</f>
        <v/>
      </c>
      <c r="V111" s="65">
        <f t="shared" si="32"/>
        <v>3.6134408602150536</v>
      </c>
      <c r="W111" s="65" t="str">
        <f t="shared" si="32"/>
        <v/>
      </c>
      <c r="X111" s="65" t="str">
        <f t="shared" si="32"/>
        <v/>
      </c>
      <c r="Y111" s="65" t="str">
        <f t="shared" si="32"/>
        <v/>
      </c>
      <c r="Z111" s="65" t="str">
        <f t="shared" si="32"/>
        <v/>
      </c>
      <c r="AA111" s="65" t="str">
        <f t="shared" si="32"/>
        <v/>
      </c>
      <c r="AB111" s="65" t="str">
        <f t="shared" si="32"/>
        <v/>
      </c>
      <c r="AC111" s="65" t="str">
        <f t="shared" si="32"/>
        <v/>
      </c>
      <c r="AD111" s="65" t="str">
        <f t="shared" si="32"/>
        <v/>
      </c>
      <c r="AE111" s="65" t="str">
        <f t="shared" si="32"/>
        <v/>
      </c>
      <c r="AF111" s="64" t="str">
        <f t="shared" si="32"/>
        <v/>
      </c>
      <c r="AG111" s="63">
        <f>IF(AG108=0,"",AG109/AG110)</f>
        <v>3.6134408602150536</v>
      </c>
    </row>
    <row r="112" spans="2:33" x14ac:dyDescent="0.35">
      <c r="B112" s="356"/>
      <c r="C112" s="352"/>
      <c r="D112" s="357"/>
      <c r="E112" s="357"/>
      <c r="F112" s="352"/>
      <c r="G112" s="366"/>
      <c r="H112" s="352"/>
      <c r="I112" s="334" t="str">
        <f t="shared" si="25"/>
        <v/>
      </c>
      <c r="J112" s="335" t="str">
        <f t="shared" si="26"/>
        <v/>
      </c>
      <c r="K112" s="17"/>
      <c r="L112" s="17"/>
      <c r="M112" s="17"/>
      <c r="N112" s="17"/>
      <c r="O112" s="17"/>
      <c r="P112" s="17"/>
      <c r="Q112" s="17"/>
      <c r="T112" s="49" t="s">
        <v>87</v>
      </c>
      <c r="U112" s="62" t="str">
        <f t="shared" ref="U112:AG112" si="33">IF(U108=0,"",U110/U108)</f>
        <v/>
      </c>
      <c r="V112" s="61">
        <f t="shared" si="33"/>
        <v>413.33333333333331</v>
      </c>
      <c r="W112" s="61" t="str">
        <f t="shared" si="33"/>
        <v/>
      </c>
      <c r="X112" s="61" t="str">
        <f t="shared" si="33"/>
        <v/>
      </c>
      <c r="Y112" s="61" t="str">
        <f t="shared" si="33"/>
        <v/>
      </c>
      <c r="Z112" s="61" t="str">
        <f t="shared" si="33"/>
        <v/>
      </c>
      <c r="AA112" s="61" t="str">
        <f t="shared" si="33"/>
        <v/>
      </c>
      <c r="AB112" s="61" t="str">
        <f t="shared" si="33"/>
        <v/>
      </c>
      <c r="AC112" s="61" t="str">
        <f t="shared" si="33"/>
        <v/>
      </c>
      <c r="AD112" s="61" t="str">
        <f t="shared" si="33"/>
        <v/>
      </c>
      <c r="AE112" s="61" t="str">
        <f t="shared" si="33"/>
        <v/>
      </c>
      <c r="AF112" s="60" t="str">
        <f t="shared" si="33"/>
        <v/>
      </c>
      <c r="AG112" s="59">
        <f t="shared" si="33"/>
        <v>413.33333333333331</v>
      </c>
    </row>
    <row r="113" spans="2:48" x14ac:dyDescent="0.35">
      <c r="B113" s="356"/>
      <c r="C113" s="352"/>
      <c r="D113" s="357"/>
      <c r="E113" s="357"/>
      <c r="F113" s="352"/>
      <c r="G113" s="366"/>
      <c r="H113" s="352"/>
      <c r="I113" s="334" t="str">
        <f t="shared" ref="I113:I130" si="34">IF(B113="","",IF(H113="/Head",G113*D113,IF(H113="/Kg LW",D113*E113*G113,"CHECK")))</f>
        <v/>
      </c>
      <c r="J113" s="335" t="str">
        <f t="shared" ref="J113:J130" si="35">IF(D113="","",D113*E113)</f>
        <v/>
      </c>
      <c r="K113" s="17"/>
      <c r="L113" s="17"/>
      <c r="M113" s="17"/>
      <c r="N113" s="17"/>
      <c r="O113" s="17"/>
      <c r="P113" s="17"/>
      <c r="Q113" s="17"/>
      <c r="AG113" s="44"/>
    </row>
    <row r="114" spans="2:48" x14ac:dyDescent="0.35">
      <c r="B114" s="356"/>
      <c r="C114" s="352"/>
      <c r="D114" s="357"/>
      <c r="E114" s="357"/>
      <c r="F114" s="352"/>
      <c r="G114" s="366"/>
      <c r="H114" s="352"/>
      <c r="I114" s="334" t="str">
        <f t="shared" si="34"/>
        <v/>
      </c>
      <c r="J114" s="335" t="str">
        <f t="shared" si="35"/>
        <v/>
      </c>
      <c r="K114" s="17"/>
      <c r="L114" s="17"/>
      <c r="M114" s="17"/>
      <c r="N114" s="17"/>
      <c r="O114" s="17"/>
      <c r="P114" s="17"/>
      <c r="Q114" s="17"/>
      <c r="T114" s="44" t="s">
        <v>89</v>
      </c>
      <c r="U114" s="43" t="str">
        <f>$U$5</f>
        <v>July</v>
      </c>
      <c r="V114" s="43" t="str">
        <f>$V$5</f>
        <v>August</v>
      </c>
      <c r="W114" s="43" t="str">
        <f>$W$5</f>
        <v>September</v>
      </c>
      <c r="X114" s="43" t="str">
        <f>$X$5</f>
        <v>October</v>
      </c>
      <c r="Y114" s="43" t="str">
        <f>$Y$5</f>
        <v>November</v>
      </c>
      <c r="Z114" s="43" t="str">
        <f>$Z$5</f>
        <v>December</v>
      </c>
      <c r="AA114" s="43" t="str">
        <f>$AA$5</f>
        <v>January</v>
      </c>
      <c r="AB114" s="43" t="str">
        <f>$AB$5</f>
        <v>February</v>
      </c>
      <c r="AC114" s="43" t="str">
        <f>$AC$5</f>
        <v>March</v>
      </c>
      <c r="AD114" s="43" t="str">
        <f>$AD$5</f>
        <v>April</v>
      </c>
      <c r="AE114" s="43" t="str">
        <f>$AE$5</f>
        <v>May</v>
      </c>
      <c r="AF114" s="43" t="str">
        <f>$AF$5</f>
        <v>June</v>
      </c>
      <c r="AG114" s="44"/>
    </row>
    <row r="115" spans="2:48" x14ac:dyDescent="0.35">
      <c r="B115" s="356"/>
      <c r="C115" s="352"/>
      <c r="D115" s="357"/>
      <c r="E115" s="357"/>
      <c r="F115" s="352"/>
      <c r="G115" s="366"/>
      <c r="H115" s="352"/>
      <c r="I115" s="334" t="str">
        <f t="shared" si="34"/>
        <v/>
      </c>
      <c r="J115" s="335" t="str">
        <f t="shared" si="35"/>
        <v/>
      </c>
      <c r="K115" s="17"/>
      <c r="L115" s="17"/>
      <c r="M115" s="17"/>
      <c r="N115" s="17"/>
      <c r="O115" s="17"/>
      <c r="P115" s="17"/>
      <c r="Q115" s="17"/>
      <c r="T115" s="58" t="s">
        <v>85</v>
      </c>
      <c r="U115" s="42">
        <f t="shared" ref="U115:AF115" si="36">SUM(U6:U11)</f>
        <v>84</v>
      </c>
      <c r="V115" s="57">
        <f t="shared" si="36"/>
        <v>0</v>
      </c>
      <c r="W115" s="57">
        <f t="shared" si="36"/>
        <v>0</v>
      </c>
      <c r="X115" s="57">
        <f t="shared" si="36"/>
        <v>0</v>
      </c>
      <c r="Y115" s="57">
        <f t="shared" si="36"/>
        <v>0</v>
      </c>
      <c r="Z115" s="57">
        <f t="shared" si="36"/>
        <v>0</v>
      </c>
      <c r="AA115" s="57">
        <f t="shared" si="36"/>
        <v>0</v>
      </c>
      <c r="AB115" s="57">
        <f t="shared" si="36"/>
        <v>0</v>
      </c>
      <c r="AC115" s="57">
        <f t="shared" si="36"/>
        <v>98</v>
      </c>
      <c r="AD115" s="57">
        <f t="shared" si="36"/>
        <v>0</v>
      </c>
      <c r="AE115" s="57">
        <f t="shared" si="36"/>
        <v>0</v>
      </c>
      <c r="AF115" s="56">
        <f t="shared" si="36"/>
        <v>125</v>
      </c>
      <c r="AG115" s="55">
        <f>SUM(U115:AF115)</f>
        <v>307</v>
      </c>
    </row>
    <row r="116" spans="2:48" x14ac:dyDescent="0.35">
      <c r="B116" s="356"/>
      <c r="C116" s="352"/>
      <c r="D116" s="357"/>
      <c r="E116" s="357"/>
      <c r="F116" s="352"/>
      <c r="G116" s="366"/>
      <c r="H116" s="352"/>
      <c r="I116" s="334" t="str">
        <f t="shared" si="34"/>
        <v/>
      </c>
      <c r="J116" s="335" t="str">
        <f t="shared" si="35"/>
        <v/>
      </c>
      <c r="K116" s="17"/>
      <c r="L116" s="17"/>
      <c r="M116" s="17"/>
      <c r="N116" s="17"/>
      <c r="O116" s="17"/>
      <c r="P116" s="17"/>
      <c r="Q116" s="17"/>
      <c r="T116" s="54" t="s">
        <v>84</v>
      </c>
      <c r="U116" s="53">
        <f>SUM(U40:U45)</f>
        <v>62630.400000000001</v>
      </c>
      <c r="V116" s="52">
        <f t="shared" ref="V116:AF116" si="37">SUM(V40:V45)</f>
        <v>0</v>
      </c>
      <c r="W116" s="52">
        <f t="shared" si="37"/>
        <v>0</v>
      </c>
      <c r="X116" s="52">
        <f t="shared" si="37"/>
        <v>0</v>
      </c>
      <c r="Y116" s="52">
        <f t="shared" si="37"/>
        <v>0</v>
      </c>
      <c r="Z116" s="52">
        <f t="shared" si="37"/>
        <v>0</v>
      </c>
      <c r="AA116" s="52">
        <f t="shared" si="37"/>
        <v>0</v>
      </c>
      <c r="AB116" s="52">
        <f t="shared" si="37"/>
        <v>0</v>
      </c>
      <c r="AC116" s="52">
        <f t="shared" si="37"/>
        <v>108701.6</v>
      </c>
      <c r="AD116" s="52">
        <f t="shared" si="37"/>
        <v>0</v>
      </c>
      <c r="AE116" s="52">
        <f t="shared" si="37"/>
        <v>0</v>
      </c>
      <c r="AF116" s="51">
        <f t="shared" si="37"/>
        <v>121712.5</v>
      </c>
      <c r="AG116" s="50">
        <f>SUM(U116:AF116)</f>
        <v>293044.5</v>
      </c>
    </row>
    <row r="117" spans="2:48" x14ac:dyDescent="0.35">
      <c r="B117" s="356"/>
      <c r="C117" s="352"/>
      <c r="D117" s="357"/>
      <c r="E117" s="357"/>
      <c r="F117" s="352"/>
      <c r="G117" s="366"/>
      <c r="H117" s="352"/>
      <c r="I117" s="334" t="str">
        <f t="shared" si="34"/>
        <v/>
      </c>
      <c r="J117" s="335" t="str">
        <f t="shared" si="35"/>
        <v/>
      </c>
      <c r="K117" s="17"/>
      <c r="L117" s="17"/>
      <c r="M117" s="17"/>
      <c r="N117" s="17"/>
      <c r="O117" s="17"/>
      <c r="P117" s="17"/>
      <c r="Q117" s="17"/>
      <c r="T117" s="54" t="s">
        <v>83</v>
      </c>
      <c r="U117" s="68">
        <f>SUM(U74:U79)</f>
        <v>26880</v>
      </c>
      <c r="V117" s="38">
        <f t="shared" ref="V117:AF117" si="38">SUM(V74:V79)</f>
        <v>0</v>
      </c>
      <c r="W117" s="38">
        <f t="shared" si="38"/>
        <v>0</v>
      </c>
      <c r="X117" s="38">
        <f t="shared" si="38"/>
        <v>0</v>
      </c>
      <c r="Y117" s="38">
        <f t="shared" si="38"/>
        <v>0</v>
      </c>
      <c r="Z117" s="38">
        <f t="shared" si="38"/>
        <v>0</v>
      </c>
      <c r="AA117" s="38">
        <f t="shared" si="38"/>
        <v>0</v>
      </c>
      <c r="AB117" s="38">
        <f t="shared" si="38"/>
        <v>0</v>
      </c>
      <c r="AC117" s="38">
        <f t="shared" si="38"/>
        <v>46060</v>
      </c>
      <c r="AD117" s="38">
        <f t="shared" si="38"/>
        <v>0</v>
      </c>
      <c r="AE117" s="38">
        <f t="shared" si="38"/>
        <v>0</v>
      </c>
      <c r="AF117" s="37">
        <f t="shared" si="38"/>
        <v>53725</v>
      </c>
      <c r="AG117" s="67">
        <f>SUM(U117:AF117)</f>
        <v>126665</v>
      </c>
    </row>
    <row r="118" spans="2:48" x14ac:dyDescent="0.35">
      <c r="B118" s="356"/>
      <c r="C118" s="352"/>
      <c r="D118" s="357"/>
      <c r="E118" s="357"/>
      <c r="F118" s="352"/>
      <c r="G118" s="366"/>
      <c r="H118" s="352"/>
      <c r="I118" s="334" t="str">
        <f t="shared" si="34"/>
        <v/>
      </c>
      <c r="J118" s="335" t="str">
        <f t="shared" si="35"/>
        <v/>
      </c>
      <c r="K118" s="17"/>
      <c r="L118" s="17"/>
      <c r="M118" s="17"/>
      <c r="N118" s="17"/>
      <c r="O118" s="17"/>
      <c r="P118" s="17"/>
      <c r="Q118" s="17"/>
      <c r="T118" s="54" t="s">
        <v>88</v>
      </c>
      <c r="U118" s="66">
        <f t="shared" ref="U118:AG118" si="39">IF(U115=0,"",U116/U117)</f>
        <v>2.33</v>
      </c>
      <c r="V118" s="65" t="str">
        <f t="shared" si="39"/>
        <v/>
      </c>
      <c r="W118" s="65" t="str">
        <f t="shared" si="39"/>
        <v/>
      </c>
      <c r="X118" s="65" t="str">
        <f t="shared" si="39"/>
        <v/>
      </c>
      <c r="Y118" s="65" t="str">
        <f t="shared" si="39"/>
        <v/>
      </c>
      <c r="Z118" s="65" t="str">
        <f t="shared" si="39"/>
        <v/>
      </c>
      <c r="AA118" s="65" t="str">
        <f t="shared" si="39"/>
        <v/>
      </c>
      <c r="AB118" s="65" t="str">
        <f t="shared" si="39"/>
        <v/>
      </c>
      <c r="AC118" s="65">
        <f t="shared" si="39"/>
        <v>2.3600000000000003</v>
      </c>
      <c r="AD118" s="65" t="str">
        <f t="shared" si="39"/>
        <v/>
      </c>
      <c r="AE118" s="65" t="str">
        <f t="shared" si="39"/>
        <v/>
      </c>
      <c r="AF118" s="64">
        <f t="shared" si="39"/>
        <v>2.265472312703583</v>
      </c>
      <c r="AG118" s="63">
        <f t="shared" si="39"/>
        <v>2.313539651837524</v>
      </c>
    </row>
    <row r="119" spans="2:48" x14ac:dyDescent="0.35">
      <c r="B119" s="356"/>
      <c r="C119" s="352"/>
      <c r="D119" s="357"/>
      <c r="E119" s="357"/>
      <c r="F119" s="352"/>
      <c r="G119" s="366"/>
      <c r="H119" s="352"/>
      <c r="I119" s="334" t="str">
        <f t="shared" si="34"/>
        <v/>
      </c>
      <c r="J119" s="335" t="str">
        <f t="shared" si="35"/>
        <v/>
      </c>
      <c r="K119" s="17"/>
      <c r="L119" s="17"/>
      <c r="M119" s="17"/>
      <c r="N119" s="17"/>
      <c r="O119" s="17"/>
      <c r="P119" s="17"/>
      <c r="Q119" s="17"/>
      <c r="T119" s="49" t="s">
        <v>87</v>
      </c>
      <c r="U119" s="62">
        <f t="shared" ref="U119:AG119" si="40">IF(U115=0,"",U117/U115)</f>
        <v>320</v>
      </c>
      <c r="V119" s="61" t="str">
        <f t="shared" si="40"/>
        <v/>
      </c>
      <c r="W119" s="61" t="str">
        <f t="shared" si="40"/>
        <v/>
      </c>
      <c r="X119" s="61" t="str">
        <f t="shared" si="40"/>
        <v/>
      </c>
      <c r="Y119" s="61" t="str">
        <f t="shared" si="40"/>
        <v/>
      </c>
      <c r="Z119" s="61" t="str">
        <f t="shared" si="40"/>
        <v/>
      </c>
      <c r="AA119" s="61" t="str">
        <f t="shared" si="40"/>
        <v/>
      </c>
      <c r="AB119" s="61" t="str">
        <f t="shared" si="40"/>
        <v/>
      </c>
      <c r="AC119" s="61">
        <f t="shared" si="40"/>
        <v>470</v>
      </c>
      <c r="AD119" s="61" t="str">
        <f t="shared" si="40"/>
        <v/>
      </c>
      <c r="AE119" s="61" t="str">
        <f t="shared" si="40"/>
        <v/>
      </c>
      <c r="AF119" s="60">
        <f t="shared" si="40"/>
        <v>429.8</v>
      </c>
      <c r="AG119" s="59">
        <f t="shared" si="40"/>
        <v>412.58957654723127</v>
      </c>
    </row>
    <row r="120" spans="2:48" x14ac:dyDescent="0.35">
      <c r="B120" s="356"/>
      <c r="C120" s="352"/>
      <c r="D120" s="357"/>
      <c r="E120" s="357"/>
      <c r="F120" s="352"/>
      <c r="G120" s="366"/>
      <c r="H120" s="352"/>
      <c r="I120" s="334" t="str">
        <f t="shared" si="34"/>
        <v/>
      </c>
      <c r="J120" s="335" t="str">
        <f t="shared" si="35"/>
        <v/>
      </c>
      <c r="K120" s="17"/>
      <c r="L120" s="17"/>
      <c r="M120" s="17"/>
      <c r="N120" s="17"/>
      <c r="O120" s="17"/>
      <c r="P120" s="17"/>
      <c r="Q120" s="17"/>
      <c r="AG120" s="44"/>
    </row>
    <row r="121" spans="2:48" ht="15" thickBot="1" x14ac:dyDescent="0.4">
      <c r="B121" s="356"/>
      <c r="C121" s="352"/>
      <c r="D121" s="357"/>
      <c r="E121" s="357"/>
      <c r="F121" s="352"/>
      <c r="G121" s="366"/>
      <c r="H121" s="352"/>
      <c r="I121" s="334" t="str">
        <f t="shared" si="34"/>
        <v/>
      </c>
      <c r="J121" s="335" t="str">
        <f t="shared" si="35"/>
        <v/>
      </c>
      <c r="K121" s="17"/>
      <c r="L121" s="17"/>
      <c r="M121" s="17"/>
      <c r="N121" s="17"/>
      <c r="O121" s="17"/>
      <c r="P121" s="17"/>
      <c r="Q121" s="17"/>
      <c r="T121" s="44" t="s">
        <v>86</v>
      </c>
      <c r="U121" s="43" t="str">
        <f>$U$5</f>
        <v>July</v>
      </c>
      <c r="V121" s="43" t="str">
        <f>$V$5</f>
        <v>August</v>
      </c>
      <c r="W121" s="43" t="str">
        <f>$W$5</f>
        <v>September</v>
      </c>
      <c r="X121" s="43" t="str">
        <f>$X$5</f>
        <v>October</v>
      </c>
      <c r="Y121" s="43" t="str">
        <f>$Y$5</f>
        <v>November</v>
      </c>
      <c r="Z121" s="43" t="str">
        <f>$Z$5</f>
        <v>December</v>
      </c>
      <c r="AA121" s="43" t="str">
        <f>$AA$5</f>
        <v>January</v>
      </c>
      <c r="AB121" s="43" t="str">
        <f>$AB$5</f>
        <v>February</v>
      </c>
      <c r="AC121" s="43" t="str">
        <f>$AC$5</f>
        <v>March</v>
      </c>
      <c r="AD121" s="43" t="str">
        <f>$AD$5</f>
        <v>April</v>
      </c>
      <c r="AE121" s="43" t="str">
        <f>$AE$5</f>
        <v>May</v>
      </c>
      <c r="AF121" s="43" t="str">
        <f>$AF$5</f>
        <v>June</v>
      </c>
      <c r="AG121" s="44"/>
    </row>
    <row r="122" spans="2:48" ht="15" thickBot="1" x14ac:dyDescent="0.4">
      <c r="B122" s="356"/>
      <c r="C122" s="352"/>
      <c r="D122" s="357"/>
      <c r="E122" s="357"/>
      <c r="F122" s="352"/>
      <c r="G122" s="366"/>
      <c r="H122" s="352"/>
      <c r="I122" s="334" t="str">
        <f t="shared" si="34"/>
        <v/>
      </c>
      <c r="J122" s="335" t="str">
        <f t="shared" si="35"/>
        <v/>
      </c>
      <c r="K122" s="17"/>
      <c r="L122" s="17"/>
      <c r="M122" s="17"/>
      <c r="N122" s="17"/>
      <c r="O122" s="17"/>
      <c r="P122" s="17"/>
      <c r="Q122" s="17"/>
      <c r="T122" s="58" t="s">
        <v>85</v>
      </c>
      <c r="U122" s="42">
        <f t="shared" ref="U122:AF122" si="41">U108+U115+U12</f>
        <v>84</v>
      </c>
      <c r="V122" s="57">
        <f t="shared" si="41"/>
        <v>324</v>
      </c>
      <c r="W122" s="57">
        <f t="shared" si="41"/>
        <v>0</v>
      </c>
      <c r="X122" s="57">
        <f t="shared" si="41"/>
        <v>0</v>
      </c>
      <c r="Y122" s="57">
        <f t="shared" si="41"/>
        <v>0</v>
      </c>
      <c r="Z122" s="57">
        <f t="shared" si="41"/>
        <v>0</v>
      </c>
      <c r="AA122" s="57">
        <f t="shared" si="41"/>
        <v>0</v>
      </c>
      <c r="AB122" s="57">
        <f t="shared" si="41"/>
        <v>0</v>
      </c>
      <c r="AC122" s="57">
        <f t="shared" si="41"/>
        <v>98</v>
      </c>
      <c r="AD122" s="57">
        <f t="shared" si="41"/>
        <v>0</v>
      </c>
      <c r="AE122" s="57">
        <f t="shared" si="41"/>
        <v>0</v>
      </c>
      <c r="AF122" s="56">
        <f t="shared" si="41"/>
        <v>125</v>
      </c>
      <c r="AG122" s="55">
        <f>SUM(U122:AF122)</f>
        <v>631</v>
      </c>
      <c r="AH122" s="235">
        <f>IF(AG122=D77,0,1)</f>
        <v>0</v>
      </c>
      <c r="AI122" s="126"/>
      <c r="AJ122" s="126"/>
      <c r="AK122" s="126"/>
      <c r="AL122" s="126"/>
      <c r="AM122" s="126"/>
      <c r="AN122" s="126"/>
      <c r="AO122" s="126"/>
      <c r="AP122" s="126"/>
      <c r="AQ122" s="126"/>
      <c r="AR122" s="126"/>
      <c r="AS122" s="126"/>
      <c r="AT122" s="126"/>
      <c r="AU122" s="126"/>
      <c r="AV122" s="126"/>
    </row>
    <row r="123" spans="2:48" ht="15" thickBot="1" x14ac:dyDescent="0.4">
      <c r="B123" s="356"/>
      <c r="C123" s="352"/>
      <c r="D123" s="357"/>
      <c r="E123" s="357"/>
      <c r="F123" s="352"/>
      <c r="G123" s="366"/>
      <c r="H123" s="352"/>
      <c r="I123" s="334" t="str">
        <f t="shared" si="34"/>
        <v/>
      </c>
      <c r="J123" s="335" t="str">
        <f t="shared" si="35"/>
        <v/>
      </c>
      <c r="K123" s="17"/>
      <c r="L123" s="17"/>
      <c r="M123" s="17"/>
      <c r="N123" s="17"/>
      <c r="O123" s="17"/>
      <c r="P123" s="17"/>
      <c r="Q123" s="17"/>
      <c r="T123" s="54" t="s">
        <v>84</v>
      </c>
      <c r="U123" s="53">
        <f>U109+U116+U46</f>
        <v>62630.400000000001</v>
      </c>
      <c r="V123" s="52">
        <f t="shared" ref="V123:AF123" si="42">V109+V116+V46</f>
        <v>483912</v>
      </c>
      <c r="W123" s="52">
        <f t="shared" si="42"/>
        <v>0</v>
      </c>
      <c r="X123" s="52">
        <f t="shared" si="42"/>
        <v>0</v>
      </c>
      <c r="Y123" s="52">
        <f t="shared" si="42"/>
        <v>0</v>
      </c>
      <c r="Z123" s="52">
        <f t="shared" si="42"/>
        <v>0</v>
      </c>
      <c r="AA123" s="52">
        <f t="shared" si="42"/>
        <v>0</v>
      </c>
      <c r="AB123" s="52">
        <f t="shared" si="42"/>
        <v>0</v>
      </c>
      <c r="AC123" s="52">
        <f t="shared" si="42"/>
        <v>108701.6</v>
      </c>
      <c r="AD123" s="52">
        <f t="shared" si="42"/>
        <v>0</v>
      </c>
      <c r="AE123" s="52">
        <f t="shared" si="42"/>
        <v>0</v>
      </c>
      <c r="AF123" s="51">
        <f t="shared" si="42"/>
        <v>121712.5</v>
      </c>
      <c r="AG123" s="50">
        <f>SUM(U123:AF123)</f>
        <v>776956.5</v>
      </c>
      <c r="AH123" s="235">
        <f>IF(AG123=I77,0,1)</f>
        <v>0</v>
      </c>
      <c r="AI123" s="126"/>
      <c r="AJ123" s="126"/>
      <c r="AK123" s="126"/>
      <c r="AL123" s="126"/>
      <c r="AM123" s="126"/>
      <c r="AN123" s="126"/>
      <c r="AO123" s="126"/>
      <c r="AP123" s="126"/>
      <c r="AQ123" s="126"/>
      <c r="AR123" s="126"/>
      <c r="AS123" s="126"/>
      <c r="AT123" s="126"/>
      <c r="AU123" s="126"/>
      <c r="AV123" s="126"/>
    </row>
    <row r="124" spans="2:48" ht="15" thickBot="1" x14ac:dyDescent="0.4">
      <c r="B124" s="356"/>
      <c r="C124" s="352"/>
      <c r="D124" s="357"/>
      <c r="E124" s="357"/>
      <c r="F124" s="352"/>
      <c r="G124" s="366"/>
      <c r="H124" s="352"/>
      <c r="I124" s="334" t="str">
        <f t="shared" si="34"/>
        <v/>
      </c>
      <c r="J124" s="335" t="str">
        <f t="shared" si="35"/>
        <v/>
      </c>
      <c r="K124" s="17"/>
      <c r="L124" s="17"/>
      <c r="M124" s="17"/>
      <c r="N124" s="17"/>
      <c r="O124" s="17"/>
      <c r="P124" s="17"/>
      <c r="Q124" s="17"/>
      <c r="T124" s="49" t="s">
        <v>83</v>
      </c>
      <c r="U124" s="48">
        <f>U110+U117+U80</f>
        <v>26880</v>
      </c>
      <c r="V124" s="47">
        <f t="shared" ref="V124:AF124" si="43">V110+V117+V80</f>
        <v>133920</v>
      </c>
      <c r="W124" s="47">
        <f t="shared" si="43"/>
        <v>0</v>
      </c>
      <c r="X124" s="47">
        <f t="shared" si="43"/>
        <v>0</v>
      </c>
      <c r="Y124" s="47">
        <f t="shared" si="43"/>
        <v>0</v>
      </c>
      <c r="Z124" s="47">
        <f t="shared" si="43"/>
        <v>0</v>
      </c>
      <c r="AA124" s="47">
        <f t="shared" si="43"/>
        <v>0</v>
      </c>
      <c r="AB124" s="47">
        <f t="shared" si="43"/>
        <v>0</v>
      </c>
      <c r="AC124" s="47">
        <f t="shared" si="43"/>
        <v>46060</v>
      </c>
      <c r="AD124" s="47">
        <f t="shared" si="43"/>
        <v>0</v>
      </c>
      <c r="AE124" s="47">
        <f t="shared" si="43"/>
        <v>0</v>
      </c>
      <c r="AF124" s="46">
        <f t="shared" si="43"/>
        <v>53725</v>
      </c>
      <c r="AG124" s="45">
        <f>SUM(U124:AF124)</f>
        <v>260585</v>
      </c>
      <c r="AH124" s="235">
        <f>IF(AG124=J77,0,1)</f>
        <v>0</v>
      </c>
      <c r="AI124" s="126"/>
      <c r="AJ124" s="126"/>
      <c r="AK124" s="126"/>
      <c r="AL124" s="126"/>
      <c r="AM124" s="126"/>
      <c r="AN124" s="126"/>
      <c r="AO124" s="126"/>
      <c r="AP124" s="126"/>
      <c r="AQ124" s="126"/>
      <c r="AR124" s="126"/>
      <c r="AS124" s="126"/>
      <c r="AT124" s="126"/>
      <c r="AU124" s="126"/>
      <c r="AV124" s="126"/>
    </row>
    <row r="125" spans="2:48" x14ac:dyDescent="0.35">
      <c r="B125" s="356"/>
      <c r="C125" s="352"/>
      <c r="D125" s="357"/>
      <c r="E125" s="357"/>
      <c r="F125" s="352"/>
      <c r="G125" s="366"/>
      <c r="H125" s="352"/>
      <c r="I125" s="334" t="str">
        <f t="shared" si="34"/>
        <v/>
      </c>
      <c r="J125" s="335" t="str">
        <f t="shared" si="35"/>
        <v/>
      </c>
      <c r="K125" s="17"/>
      <c r="L125" s="17"/>
      <c r="M125" s="17"/>
      <c r="N125" s="17"/>
      <c r="O125" s="17"/>
      <c r="P125" s="17"/>
      <c r="Q125" s="17"/>
    </row>
    <row r="126" spans="2:48" ht="15.75" customHeight="1" x14ac:dyDescent="0.35">
      <c r="B126" s="356"/>
      <c r="C126" s="352"/>
      <c r="D126" s="357"/>
      <c r="E126" s="357"/>
      <c r="F126" s="352"/>
      <c r="G126" s="366"/>
      <c r="H126" s="352"/>
      <c r="I126" s="334" t="str">
        <f t="shared" si="34"/>
        <v/>
      </c>
      <c r="J126" s="335" t="str">
        <f t="shared" si="35"/>
        <v/>
      </c>
      <c r="K126" s="17"/>
      <c r="L126" s="17"/>
      <c r="M126" s="17"/>
      <c r="N126" s="17"/>
      <c r="O126" s="17"/>
      <c r="P126" s="17"/>
      <c r="Q126" s="17"/>
      <c r="T126" s="44" t="s">
        <v>82</v>
      </c>
      <c r="U126" s="43" t="str">
        <f>$U$5</f>
        <v>July</v>
      </c>
      <c r="V126" s="43" t="str">
        <f>$V$5</f>
        <v>August</v>
      </c>
      <c r="W126" s="43" t="str">
        <f>$W$5</f>
        <v>September</v>
      </c>
      <c r="X126" s="43" t="str">
        <f>$X$5</f>
        <v>October</v>
      </c>
      <c r="Y126" s="43" t="str">
        <f>$Y$5</f>
        <v>November</v>
      </c>
      <c r="Z126" s="43" t="str">
        <f>$Z$5</f>
        <v>December</v>
      </c>
      <c r="AA126" s="43" t="str">
        <f>$AA$5</f>
        <v>January</v>
      </c>
      <c r="AB126" s="43" t="str">
        <f>$AB$5</f>
        <v>February</v>
      </c>
      <c r="AC126" s="43" t="str">
        <f>$AC$5</f>
        <v>March</v>
      </c>
      <c r="AD126" s="43" t="str">
        <f>$AD$5</f>
        <v>April</v>
      </c>
      <c r="AE126" s="43" t="str">
        <f>$AE$5</f>
        <v>May</v>
      </c>
      <c r="AF126" s="43" t="str">
        <f>$AF$5</f>
        <v>June</v>
      </c>
    </row>
    <row r="127" spans="2:48" x14ac:dyDescent="0.35">
      <c r="B127" s="356"/>
      <c r="C127" s="352"/>
      <c r="D127" s="357"/>
      <c r="E127" s="357"/>
      <c r="F127" s="352"/>
      <c r="G127" s="366"/>
      <c r="H127" s="352"/>
      <c r="I127" s="334" t="str">
        <f t="shared" si="34"/>
        <v/>
      </c>
      <c r="J127" s="335" t="str">
        <f t="shared" si="35"/>
        <v/>
      </c>
      <c r="K127" s="17"/>
      <c r="L127" s="17"/>
      <c r="M127" s="17"/>
      <c r="N127" s="17"/>
      <c r="O127" s="17"/>
      <c r="P127" s="17"/>
      <c r="Q127" s="17"/>
      <c r="T127" s="42" t="s">
        <v>81</v>
      </c>
      <c r="U127" s="41">
        <f t="shared" ref="U127:AF127" ca="1" si="44">SUMPRODUCT(U6:U20,$AJ$6:$AJ$20)</f>
        <v>86.739126609885403</v>
      </c>
      <c r="V127" s="41">
        <f t="shared" ca="1" si="44"/>
        <v>373.28396408765838</v>
      </c>
      <c r="W127" s="41">
        <f t="shared" ca="1" si="44"/>
        <v>0</v>
      </c>
      <c r="X127" s="41">
        <f t="shared" ca="1" si="44"/>
        <v>0</v>
      </c>
      <c r="Y127" s="41">
        <f t="shared" ca="1" si="44"/>
        <v>0</v>
      </c>
      <c r="Z127" s="41">
        <f t="shared" ca="1" si="44"/>
        <v>0</v>
      </c>
      <c r="AA127" s="41">
        <f t="shared" ca="1" si="44"/>
        <v>0</v>
      </c>
      <c r="AB127" s="41">
        <f t="shared" ca="1" si="44"/>
        <v>0</v>
      </c>
      <c r="AC127" s="41">
        <f t="shared" ca="1" si="44"/>
        <v>126.49248265410844</v>
      </c>
      <c r="AD127" s="41">
        <f t="shared" ca="1" si="44"/>
        <v>0</v>
      </c>
      <c r="AE127" s="41">
        <f t="shared" ca="1" si="44"/>
        <v>0</v>
      </c>
      <c r="AF127" s="40">
        <f t="shared" ca="1" si="44"/>
        <v>182.54651265017793</v>
      </c>
    </row>
    <row r="128" spans="2:48" x14ac:dyDescent="0.35">
      <c r="B128" s="356"/>
      <c r="C128" s="352"/>
      <c r="D128" s="357"/>
      <c r="E128" s="357"/>
      <c r="F128" s="352"/>
      <c r="G128" s="366"/>
      <c r="H128" s="352"/>
      <c r="I128" s="334" t="str">
        <f t="shared" si="34"/>
        <v/>
      </c>
      <c r="J128" s="335" t="str">
        <f t="shared" si="35"/>
        <v/>
      </c>
      <c r="K128" s="17"/>
      <c r="L128" s="17"/>
      <c r="M128" s="17"/>
      <c r="N128" s="17"/>
      <c r="O128" s="17"/>
      <c r="P128" s="17"/>
      <c r="Q128" s="17"/>
      <c r="T128" s="39" t="s">
        <v>80</v>
      </c>
      <c r="U128" s="38">
        <f ca="1">SUMPRODUCT(U23:U37,$AJ$6:$AJ$20)</f>
        <v>0</v>
      </c>
      <c r="V128" s="38">
        <f t="shared" ref="V128:AF128" ca="1" si="45">SUMPRODUCT(V23:V37,$AJ$6:$AJ$20)</f>
        <v>0</v>
      </c>
      <c r="W128" s="38">
        <f t="shared" ca="1" si="45"/>
        <v>7.0718509691111375</v>
      </c>
      <c r="X128" s="38">
        <f t="shared" ca="1" si="45"/>
        <v>0</v>
      </c>
      <c r="Y128" s="38">
        <f t="shared" ca="1" si="45"/>
        <v>0</v>
      </c>
      <c r="Z128" s="38">
        <f t="shared" ca="1" si="45"/>
        <v>0</v>
      </c>
      <c r="AA128" s="38">
        <f t="shared" ca="1" si="45"/>
        <v>0</v>
      </c>
      <c r="AB128" s="38">
        <f t="shared" ca="1" si="45"/>
        <v>0</v>
      </c>
      <c r="AC128" s="38">
        <f t="shared" ca="1" si="45"/>
        <v>0</v>
      </c>
      <c r="AD128" s="38">
        <f t="shared" ca="1" si="45"/>
        <v>0</v>
      </c>
      <c r="AE128" s="38">
        <f t="shared" ca="1" si="45"/>
        <v>103.26086501176835</v>
      </c>
      <c r="AF128" s="37">
        <f t="shared" ca="1" si="45"/>
        <v>0</v>
      </c>
    </row>
    <row r="129" spans="2:32" x14ac:dyDescent="0.35">
      <c r="B129" s="356"/>
      <c r="C129" s="352"/>
      <c r="D129" s="357"/>
      <c r="E129" s="357"/>
      <c r="F129" s="352"/>
      <c r="G129" s="366"/>
      <c r="H129" s="352"/>
      <c r="I129" s="334" t="str">
        <f t="shared" si="34"/>
        <v/>
      </c>
      <c r="J129" s="335" t="str">
        <f t="shared" si="35"/>
        <v/>
      </c>
      <c r="K129" s="17"/>
      <c r="L129" s="17"/>
      <c r="M129" s="17"/>
      <c r="N129" s="17"/>
      <c r="O129" s="17"/>
      <c r="P129" s="17"/>
      <c r="Q129" s="17"/>
      <c r="T129" s="36" t="s">
        <v>79</v>
      </c>
      <c r="U129" s="35">
        <f t="shared" ref="U129:AF129" ca="1" si="46">-U127+U128</f>
        <v>-86.739126609885403</v>
      </c>
      <c r="V129" s="35">
        <f t="shared" ca="1" si="46"/>
        <v>-373.28396408765838</v>
      </c>
      <c r="W129" s="35">
        <f t="shared" ca="1" si="46"/>
        <v>7.0718509691111375</v>
      </c>
      <c r="X129" s="35">
        <f t="shared" ca="1" si="46"/>
        <v>0</v>
      </c>
      <c r="Y129" s="35">
        <f t="shared" ca="1" si="46"/>
        <v>0</v>
      </c>
      <c r="Z129" s="35">
        <f t="shared" ca="1" si="46"/>
        <v>0</v>
      </c>
      <c r="AA129" s="35">
        <f t="shared" ca="1" si="46"/>
        <v>0</v>
      </c>
      <c r="AB129" s="35">
        <f t="shared" ca="1" si="46"/>
        <v>0</v>
      </c>
      <c r="AC129" s="35">
        <f t="shared" ca="1" si="46"/>
        <v>-126.49248265410844</v>
      </c>
      <c r="AD129" s="35">
        <f t="shared" ca="1" si="46"/>
        <v>0</v>
      </c>
      <c r="AE129" s="35">
        <f t="shared" ca="1" si="46"/>
        <v>103.26086501176835</v>
      </c>
      <c r="AF129" s="34">
        <f t="shared" ca="1" si="46"/>
        <v>-182.54651265017793</v>
      </c>
    </row>
    <row r="130" spans="2:32" x14ac:dyDescent="0.35">
      <c r="B130" s="360"/>
      <c r="C130" s="362"/>
      <c r="D130" s="362"/>
      <c r="E130" s="362"/>
      <c r="F130" s="361"/>
      <c r="G130" s="367"/>
      <c r="H130" s="361"/>
      <c r="I130" s="336" t="str">
        <f t="shared" si="34"/>
        <v/>
      </c>
      <c r="J130" s="339" t="str">
        <f t="shared" si="35"/>
        <v/>
      </c>
      <c r="K130" s="17"/>
      <c r="L130" s="17"/>
      <c r="M130" s="17"/>
      <c r="N130" s="17"/>
      <c r="O130" s="17"/>
      <c r="P130" s="17"/>
      <c r="Q130" s="17"/>
    </row>
    <row r="131" spans="2:32" ht="15" thickBot="1" x14ac:dyDescent="0.4">
      <c r="B131" s="33"/>
      <c r="C131" s="32"/>
      <c r="D131" s="32">
        <f>SUM(D81:D130)</f>
        <v>105</v>
      </c>
      <c r="E131" s="32">
        <f>SUMPRODUCT(D81:D130,E81:E130)/D131</f>
        <v>364.28571428571428</v>
      </c>
      <c r="F131" s="31"/>
      <c r="G131" s="30">
        <f>H131/E131</f>
        <v>3.0326797385620918</v>
      </c>
      <c r="H131" s="29">
        <f>I131/D131</f>
        <v>1104.7619047619048</v>
      </c>
      <c r="I131" s="29">
        <f>SUM(I81:I130)</f>
        <v>116000</v>
      </c>
      <c r="J131" s="28">
        <f>SUM(J81:J130)</f>
        <v>38250</v>
      </c>
      <c r="K131" s="17"/>
      <c r="L131" s="17"/>
      <c r="M131" s="17"/>
      <c r="N131" s="17"/>
      <c r="O131" s="17"/>
      <c r="P131" s="17"/>
      <c r="Q131" s="17"/>
      <c r="T131" s="44" t="s">
        <v>161</v>
      </c>
    </row>
    <row r="132" spans="2:32" x14ac:dyDescent="0.35">
      <c r="K132" s="17"/>
      <c r="L132" s="17"/>
      <c r="M132" s="17"/>
      <c r="N132" s="17"/>
      <c r="O132" s="17"/>
      <c r="P132" s="17"/>
      <c r="Q132" s="17"/>
      <c r="S132" s="140" t="s">
        <v>104</v>
      </c>
      <c r="T132" s="85">
        <f ca="1">AJ23</f>
        <v>2096.0672470309496</v>
      </c>
      <c r="U132" s="38">
        <f ca="1">T132+U129</f>
        <v>2009.3281204210641</v>
      </c>
      <c r="V132" s="38">
        <f t="shared" ref="V132:AF132" ca="1" si="47">U132+V129</f>
        <v>1636.0441563334057</v>
      </c>
      <c r="W132" s="38">
        <f t="shared" ca="1" si="47"/>
        <v>1643.1160073025169</v>
      </c>
      <c r="X132" s="38">
        <f t="shared" ca="1" si="47"/>
        <v>1643.1160073025169</v>
      </c>
      <c r="Y132" s="38">
        <f t="shared" ca="1" si="47"/>
        <v>1643.1160073025169</v>
      </c>
      <c r="Z132" s="445">
        <f ca="1">Y132+Z129</f>
        <v>1643.1160073025169</v>
      </c>
      <c r="AA132" s="38">
        <f t="shared" ca="1" si="47"/>
        <v>1643.1160073025169</v>
      </c>
      <c r="AB132" s="38">
        <f t="shared" ca="1" si="47"/>
        <v>1643.1160073025169</v>
      </c>
      <c r="AC132" s="38">
        <f t="shared" ca="1" si="47"/>
        <v>1516.6235246484084</v>
      </c>
      <c r="AD132" s="38">
        <f t="shared" ca="1" si="47"/>
        <v>1516.6235246484084</v>
      </c>
      <c r="AE132" s="38">
        <f t="shared" ca="1" si="47"/>
        <v>1619.8843896601768</v>
      </c>
      <c r="AF132" s="38">
        <f t="shared" ca="1" si="47"/>
        <v>1437.3378770099989</v>
      </c>
    </row>
    <row r="133" spans="2:32" hidden="1" x14ac:dyDescent="0.35">
      <c r="K133" s="17"/>
      <c r="L133" s="17"/>
      <c r="M133" s="17"/>
      <c r="N133" s="17"/>
      <c r="O133" s="17"/>
      <c r="P133" s="17"/>
      <c r="Q133" s="17"/>
      <c r="S133" s="140" t="s">
        <v>103</v>
      </c>
      <c r="T133" s="47">
        <f t="shared" ref="T133:X133" ca="1" si="48">U133-U129</f>
        <v>2023.2437452892511</v>
      </c>
      <c r="U133" s="47">
        <f t="shared" ca="1" si="48"/>
        <v>1936.5046186793656</v>
      </c>
      <c r="V133" s="47">
        <f t="shared" ca="1" si="48"/>
        <v>1563.2206545917072</v>
      </c>
      <c r="W133" s="47">
        <f t="shared" ca="1" si="48"/>
        <v>1570.2925055608184</v>
      </c>
      <c r="X133" s="47">
        <f t="shared" ca="1" si="48"/>
        <v>1570.2925055608184</v>
      </c>
      <c r="Y133" s="47">
        <f ca="1">Z133-Z129</f>
        <v>1570.2925055608184</v>
      </c>
      <c r="Z133" s="446">
        <f ca="1">AA133-AA129</f>
        <v>1570.2925055608184</v>
      </c>
      <c r="AA133" s="47">
        <f t="shared" ref="AA133:AD133" ca="1" si="49">AB133-AB129</f>
        <v>1570.2925055608184</v>
      </c>
      <c r="AB133" s="47">
        <f t="shared" ca="1" si="49"/>
        <v>1570.2925055608184</v>
      </c>
      <c r="AC133" s="47">
        <f t="shared" ca="1" si="49"/>
        <v>1443.80002290671</v>
      </c>
      <c r="AD133" s="47">
        <f t="shared" ca="1" si="49"/>
        <v>1443.80002290671</v>
      </c>
      <c r="AE133" s="47">
        <f ca="1">AF133-AF129</f>
        <v>1547.0608879184783</v>
      </c>
      <c r="AF133" s="142">
        <f ca="1">AJ24</f>
        <v>1364.5143752683005</v>
      </c>
    </row>
    <row r="134" spans="2:32" hidden="1" x14ac:dyDescent="0.35">
      <c r="K134" s="17"/>
      <c r="L134" s="17"/>
      <c r="M134" s="17"/>
      <c r="N134" s="17"/>
      <c r="O134" s="17"/>
      <c r="P134" s="17"/>
      <c r="Q134" s="17"/>
      <c r="S134" s="141" t="s">
        <v>285</v>
      </c>
      <c r="T134" s="41">
        <f ca="1">AVERAGE(T132:T133)</f>
        <v>2059.6554961601005</v>
      </c>
      <c r="U134" s="41">
        <f t="shared" ref="U134:AF134" ca="1" si="50">AVERAGE(U132:U133)</f>
        <v>1972.9163695502148</v>
      </c>
      <c r="V134" s="41">
        <f t="shared" ca="1" si="50"/>
        <v>1599.6324054625566</v>
      </c>
      <c r="W134" s="41">
        <f t="shared" ca="1" si="50"/>
        <v>1606.7042564316675</v>
      </c>
      <c r="X134" s="41">
        <f t="shared" ca="1" si="50"/>
        <v>1606.7042564316675</v>
      </c>
      <c r="Y134" s="41">
        <f t="shared" ca="1" si="50"/>
        <v>1606.7042564316675</v>
      </c>
      <c r="Z134" s="41">
        <f t="shared" ca="1" si="50"/>
        <v>1606.7042564316675</v>
      </c>
      <c r="AA134" s="41">
        <f t="shared" ca="1" si="50"/>
        <v>1606.7042564316675</v>
      </c>
      <c r="AB134" s="41">
        <f t="shared" ca="1" si="50"/>
        <v>1606.7042564316675</v>
      </c>
      <c r="AC134" s="41">
        <f t="shared" ca="1" si="50"/>
        <v>1480.2117737775593</v>
      </c>
      <c r="AD134" s="41">
        <f t="shared" ca="1" si="50"/>
        <v>1480.2117737775593</v>
      </c>
      <c r="AE134" s="41">
        <f t="shared" ca="1" si="50"/>
        <v>1583.4726387893274</v>
      </c>
      <c r="AF134" s="41">
        <f t="shared" ca="1" si="50"/>
        <v>1400.9261261391498</v>
      </c>
    </row>
    <row r="135" spans="2:32" hidden="1" x14ac:dyDescent="0.35">
      <c r="K135" s="17"/>
      <c r="L135" s="17"/>
      <c r="M135" s="17"/>
      <c r="N135" s="17"/>
      <c r="O135" s="17"/>
      <c r="P135" s="17"/>
      <c r="Q135" s="17"/>
      <c r="S135" s="475" t="s">
        <v>286</v>
      </c>
      <c r="U135" s="38">
        <f t="shared" ref="U135:AF135" ca="1" si="51">AVERAGE(T134,U134)</f>
        <v>2016.2859328551576</v>
      </c>
      <c r="V135" s="38">
        <f t="shared" ca="1" si="51"/>
        <v>1786.2743875063857</v>
      </c>
      <c r="W135" s="38">
        <f t="shared" ca="1" si="51"/>
        <v>1603.1683309471121</v>
      </c>
      <c r="X135" s="38">
        <f t="shared" ca="1" si="51"/>
        <v>1606.7042564316675</v>
      </c>
      <c r="Y135" s="38">
        <f t="shared" ca="1" si="51"/>
        <v>1606.7042564316675</v>
      </c>
      <c r="Z135" s="38">
        <f t="shared" ca="1" si="51"/>
        <v>1606.7042564316675</v>
      </c>
      <c r="AA135" s="38">
        <f t="shared" ca="1" si="51"/>
        <v>1606.7042564316675</v>
      </c>
      <c r="AB135" s="38">
        <f t="shared" ca="1" si="51"/>
        <v>1606.7042564316675</v>
      </c>
      <c r="AC135" s="38">
        <f t="shared" ca="1" si="51"/>
        <v>1543.4580151046134</v>
      </c>
      <c r="AD135" s="38">
        <f t="shared" ca="1" si="51"/>
        <v>1480.2117737775593</v>
      </c>
      <c r="AE135" s="38">
        <f t="shared" ca="1" si="51"/>
        <v>1531.8422062834434</v>
      </c>
      <c r="AF135" s="38">
        <f t="shared" ca="1" si="51"/>
        <v>1492.1993824642386</v>
      </c>
    </row>
    <row r="136" spans="2:32" hidden="1" x14ac:dyDescent="0.35">
      <c r="K136" s="17"/>
      <c r="L136" s="17"/>
      <c r="M136" s="17"/>
      <c r="N136" s="17"/>
      <c r="O136" s="17"/>
      <c r="P136" s="17"/>
      <c r="Q136" s="17"/>
      <c r="S136" s="140"/>
      <c r="T136" s="38">
        <f ca="1">$U$138</f>
        <v>1623.9134425914037</v>
      </c>
      <c r="U136" s="38">
        <f ca="1">$U$138</f>
        <v>1623.9134425914037</v>
      </c>
      <c r="V136" s="38">
        <f t="shared" ref="V136:AF136" ca="1" si="52">$U$138</f>
        <v>1623.9134425914037</v>
      </c>
      <c r="W136" s="38">
        <f t="shared" ca="1" si="52"/>
        <v>1623.9134425914037</v>
      </c>
      <c r="X136" s="38">
        <f t="shared" ca="1" si="52"/>
        <v>1623.9134425914037</v>
      </c>
      <c r="Y136" s="38">
        <f t="shared" ca="1" si="52"/>
        <v>1623.9134425914037</v>
      </c>
      <c r="Z136" s="38">
        <f t="shared" ca="1" si="52"/>
        <v>1623.9134425914037</v>
      </c>
      <c r="AA136" s="38">
        <f t="shared" ca="1" si="52"/>
        <v>1623.9134425914037</v>
      </c>
      <c r="AB136" s="38">
        <f t="shared" ca="1" si="52"/>
        <v>1623.9134425914037</v>
      </c>
      <c r="AC136" s="38">
        <f t="shared" ca="1" si="52"/>
        <v>1623.9134425914037</v>
      </c>
      <c r="AD136" s="38">
        <f t="shared" ca="1" si="52"/>
        <v>1623.9134425914037</v>
      </c>
      <c r="AE136" s="38">
        <f t="shared" ca="1" si="52"/>
        <v>1623.9134425914037</v>
      </c>
      <c r="AF136" s="38">
        <f t="shared" ca="1" si="52"/>
        <v>1623.9134425914037</v>
      </c>
    </row>
    <row r="137" spans="2:32" hidden="1" x14ac:dyDescent="0.35">
      <c r="K137" s="17"/>
      <c r="L137" s="17"/>
      <c r="M137" s="17"/>
      <c r="N137" s="17"/>
      <c r="O137" s="17"/>
      <c r="P137" s="17"/>
      <c r="Q137" s="17"/>
    </row>
    <row r="138" spans="2:32" hidden="1" x14ac:dyDescent="0.35">
      <c r="K138" s="17"/>
      <c r="L138" s="17"/>
      <c r="M138" s="17"/>
      <c r="N138" s="17"/>
      <c r="O138" s="17"/>
      <c r="P138" s="17"/>
      <c r="Q138" s="17"/>
      <c r="T138" s="36" t="s">
        <v>161</v>
      </c>
      <c r="U138" s="34">
        <f ca="1">AVERAGE(U135:AF135)</f>
        <v>1623.9134425914037</v>
      </c>
    </row>
    <row r="139" spans="2:32" hidden="1" x14ac:dyDescent="0.35">
      <c r="K139" s="17"/>
      <c r="L139" s="17"/>
      <c r="M139" s="17"/>
      <c r="N139" s="17"/>
      <c r="O139" s="17"/>
      <c r="P139" s="17"/>
      <c r="Q139" s="17"/>
    </row>
    <row r="140" spans="2:32" hidden="1" x14ac:dyDescent="0.35">
      <c r="K140" s="17"/>
      <c r="L140" s="17"/>
      <c r="M140" s="17"/>
      <c r="N140" s="17"/>
      <c r="O140" s="17"/>
      <c r="P140" s="17"/>
      <c r="Q140" s="17"/>
    </row>
    <row r="141" spans="2:32" hidden="1" x14ac:dyDescent="0.35">
      <c r="K141" s="17"/>
      <c r="L141" s="17"/>
      <c r="M141" s="17"/>
      <c r="N141" s="17"/>
      <c r="O141" s="17"/>
      <c r="P141" s="17"/>
      <c r="Q141" s="17"/>
    </row>
    <row r="142" spans="2:32" hidden="1" x14ac:dyDescent="0.35">
      <c r="K142" s="17"/>
      <c r="L142" s="17"/>
      <c r="M142" s="17"/>
      <c r="N142" s="17"/>
      <c r="O142" s="17"/>
      <c r="P142" s="17"/>
      <c r="Q142" s="17"/>
    </row>
    <row r="143" spans="2:32" hidden="1" x14ac:dyDescent="0.35">
      <c r="K143" s="17"/>
      <c r="L143" s="17"/>
      <c r="M143" s="17"/>
      <c r="N143" s="17"/>
      <c r="O143" s="17"/>
      <c r="P143" s="17"/>
      <c r="Q143" s="17"/>
    </row>
    <row r="144" spans="2:32" hidden="1" x14ac:dyDescent="0.35">
      <c r="K144" s="17"/>
      <c r="L144" s="17"/>
      <c r="M144" s="17"/>
      <c r="N144" s="17"/>
      <c r="O144" s="17"/>
      <c r="P144" s="17"/>
      <c r="Q144" s="17"/>
    </row>
    <row r="145" spans="6:17" hidden="1" x14ac:dyDescent="0.35">
      <c r="K145" s="17"/>
      <c r="L145" s="17"/>
      <c r="M145" s="17"/>
      <c r="N145" s="17"/>
      <c r="O145" s="17"/>
      <c r="P145" s="17"/>
      <c r="Q145" s="17"/>
    </row>
    <row r="146" spans="6:17" hidden="1" x14ac:dyDescent="0.35">
      <c r="K146" s="17"/>
      <c r="L146" s="17"/>
      <c r="M146" s="17"/>
      <c r="N146" s="17"/>
      <c r="O146" s="17"/>
      <c r="P146" s="17"/>
      <c r="Q146" s="17"/>
    </row>
    <row r="147" spans="6:17" hidden="1" x14ac:dyDescent="0.35">
      <c r="K147" s="17"/>
      <c r="L147" s="17"/>
      <c r="M147" s="17"/>
      <c r="N147" s="17"/>
      <c r="O147" s="17"/>
      <c r="P147" s="17"/>
      <c r="Q147" s="17"/>
    </row>
    <row r="148" spans="6:17" hidden="1" x14ac:dyDescent="0.35">
      <c r="K148" s="17"/>
      <c r="L148" s="17"/>
      <c r="M148" s="17"/>
      <c r="N148" s="17"/>
      <c r="O148" s="17"/>
      <c r="P148" s="17"/>
      <c r="Q148" s="17"/>
    </row>
    <row r="149" spans="6:17" hidden="1" x14ac:dyDescent="0.35">
      <c r="K149" s="17"/>
      <c r="L149" s="17"/>
      <c r="M149" s="17"/>
      <c r="N149" s="17"/>
      <c r="O149" s="17"/>
      <c r="P149" s="17"/>
      <c r="Q149" s="17"/>
    </row>
    <row r="150" spans="6:17" hidden="1" x14ac:dyDescent="0.35">
      <c r="K150" s="17"/>
      <c r="L150" s="17"/>
      <c r="M150" s="17"/>
      <c r="N150" s="17"/>
      <c r="O150" s="17"/>
      <c r="P150" s="17"/>
      <c r="Q150" s="17"/>
    </row>
    <row r="151" spans="6:17" hidden="1" x14ac:dyDescent="0.35">
      <c r="K151" s="17"/>
      <c r="L151" s="17"/>
      <c r="M151" s="17"/>
      <c r="N151" s="17"/>
      <c r="O151" s="17"/>
      <c r="P151" s="17"/>
      <c r="Q151" s="17"/>
    </row>
    <row r="152" spans="6:17" hidden="1" x14ac:dyDescent="0.35">
      <c r="K152" s="17"/>
      <c r="L152" s="17"/>
      <c r="M152" s="17"/>
      <c r="N152" s="17"/>
      <c r="O152" s="17"/>
      <c r="P152" s="17"/>
      <c r="Q152" s="17"/>
    </row>
    <row r="153" spans="6:17" hidden="1" x14ac:dyDescent="0.35">
      <c r="F153" s="267"/>
      <c r="G153" s="267"/>
      <c r="K153" s="17"/>
      <c r="L153" s="17"/>
      <c r="M153" s="17"/>
      <c r="N153" s="17"/>
      <c r="O153" s="17"/>
      <c r="P153" s="17"/>
      <c r="Q153" s="17"/>
    </row>
    <row r="154" spans="6:17" hidden="1" x14ac:dyDescent="0.35">
      <c r="K154" s="17"/>
      <c r="L154" s="17"/>
      <c r="M154" s="17"/>
      <c r="N154" s="17"/>
      <c r="O154" s="17"/>
      <c r="P154" s="17"/>
      <c r="Q154" s="17"/>
    </row>
  </sheetData>
  <sheetProtection algorithmName="SHA-512" hashValue="u7J+x04YOXUsjRCMdedY9bCxqsQjpjkV6Bk3IrYB23u/T98ED/lQaij3+ZAvEWcsEFRYOOTaUPix+lrXwCr43Q==" saltValue="YeAHuEgfGYx1ngATS8ZFhg==" spinCount="100000" sheet="1" selectLockedCells="1"/>
  <mergeCells count="4">
    <mergeCell ref="J4:M4"/>
    <mergeCell ref="H21:I21"/>
    <mergeCell ref="G4:I4"/>
    <mergeCell ref="D4:F4"/>
  </mergeCells>
  <conditionalFormatting sqref="L6:L13 L15:L20 M6:M20">
    <cfRule type="cellIs" dxfId="10" priority="24" operator="lessThan">
      <formula>0</formula>
    </cfRule>
  </conditionalFormatting>
  <conditionalFormatting sqref="P2:P3">
    <cfRule type="cellIs" dxfId="9" priority="20" operator="notEqual">
      <formula>0</formula>
    </cfRule>
  </conditionalFormatting>
  <conditionalFormatting sqref="L14">
    <cfRule type="cellIs" dxfId="8" priority="19" operator="lessThan">
      <formula>0</formula>
    </cfRule>
  </conditionalFormatting>
  <conditionalFormatting sqref="H21">
    <cfRule type="cellIs" dxfId="7" priority="11" operator="equal">
      <formula>"CHECK TRANSFERS"</formula>
    </cfRule>
  </conditionalFormatting>
  <conditionalFormatting sqref="M12">
    <cfRule type="cellIs" dxfId="6" priority="6" operator="greaterThan">
      <formula>0</formula>
    </cfRule>
    <cfRule type="cellIs" dxfId="5" priority="8" operator="lessThan">
      <formula>0</formula>
    </cfRule>
  </conditionalFormatting>
  <conditionalFormatting sqref="G7:G9 G13:G14 G17:G19">
    <cfRule type="cellIs" dxfId="4" priority="4" operator="greaterThan">
      <formula>0.02*$D7</formula>
    </cfRule>
  </conditionalFormatting>
  <conditionalFormatting sqref="N7:N11 N13:N19">
    <cfRule type="notContainsBlanks" dxfId="3" priority="3">
      <formula>LEN(TRIM(N7))&gt;0</formula>
    </cfRule>
  </conditionalFormatting>
  <conditionalFormatting sqref="G10">
    <cfRule type="cellIs" dxfId="2" priority="2" operator="greaterThan">
      <formula>0.01*$D10</formula>
    </cfRule>
  </conditionalFormatting>
  <conditionalFormatting sqref="G15">
    <cfRule type="cellIs" dxfId="1" priority="1" operator="greaterThan">
      <formula>0.01*$D15</formula>
    </cfRule>
  </conditionalFormatting>
  <dataValidations count="7">
    <dataValidation type="list" allowBlank="1" showInputMessage="1" showErrorMessage="1" sqref="F81:F130 F27:F76" xr:uid="{00000000-0002-0000-0200-000000000000}">
      <formula1>months</formula1>
    </dataValidation>
    <dataValidation type="list" allowBlank="1" showInputMessage="1" showErrorMessage="1" sqref="B81:B130 B27:B76" xr:uid="{00000000-0002-0000-0200-000001000000}">
      <formula1>CLASSES</formula1>
    </dataValidation>
    <dataValidation type="list" allowBlank="1" showInputMessage="1" showErrorMessage="1" sqref="H81:H130" xr:uid="{00000000-0002-0000-0200-000002000000}">
      <formula1>"/Head,/kg LW"</formula1>
    </dataValidation>
    <dataValidation allowBlank="1" showInputMessage="1" showErrorMessage="1" prompt="How many females were exposed to the bull last year (i.e. for the calves born in this period)?" sqref="P36" xr:uid="{00000000-0002-0000-0200-000003000000}"/>
    <dataValidation allowBlank="1" showInputMessage="1" showErrorMessage="1" prompt="Of the females that were exposed to the bull, how many were sold between joining and weaning?" sqref="P37" xr:uid="{00000000-0002-0000-0200-000004000000}"/>
    <dataValidation allowBlank="1" showInputMessage="1" showErrorMessage="1" prompt="Of the females sold, what percentage of them were pregnant? Estimate if not known and include any sold as cow &amp; calf units in here." sqref="P38" xr:uid="{00000000-0002-0000-0200-000005000000}"/>
    <dataValidation allowBlank="1" showInputMessage="1" showErrorMessage="1" prompt="What is the estimated losses from pregnancy through to weaning in those sold?" sqref="P39" xr:uid="{00000000-0002-0000-0200-000006000000}"/>
  </dataValidations>
  <pageMargins left="0.7" right="0.7" top="0.75" bottom="0.75" header="0.3" footer="0.3"/>
  <pageSetup paperSize="9" scale="65" orientation="portrait" r:id="rId1"/>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9"/>
  <sheetViews>
    <sheetView topLeftCell="A22" zoomScaleNormal="100" workbookViewId="0">
      <selection activeCell="B36" sqref="B36"/>
    </sheetView>
  </sheetViews>
  <sheetFormatPr defaultColWidth="0" defaultRowHeight="14.5" zeroHeight="1" x14ac:dyDescent="0.35"/>
  <cols>
    <col min="1" max="1" width="1.1796875" style="17" customWidth="1"/>
    <col min="2" max="2" width="25.7265625" customWidth="1"/>
    <col min="3" max="3" width="19.54296875" customWidth="1"/>
    <col min="4" max="7" width="10.453125" customWidth="1"/>
    <col min="8" max="12" width="10.26953125" customWidth="1"/>
    <col min="13" max="13" width="19.26953125" customWidth="1"/>
    <col min="14" max="14" width="6.26953125" customWidth="1"/>
    <col min="15" max="15" width="5.7265625" customWidth="1"/>
    <col min="16" max="16" width="8.26953125" style="17" customWidth="1"/>
    <col min="17" max="17" width="0" hidden="1" customWidth="1"/>
    <col min="18" max="16384" width="9.1796875" hidden="1"/>
  </cols>
  <sheetData>
    <row r="1" spans="1:16" x14ac:dyDescent="0.35">
      <c r="A1" s="110"/>
      <c r="B1" s="110"/>
      <c r="C1" s="110"/>
      <c r="D1" s="110"/>
      <c r="E1" s="110"/>
      <c r="F1" s="110"/>
      <c r="G1" s="110"/>
      <c r="H1" s="110"/>
      <c r="I1" s="110"/>
      <c r="J1" s="110"/>
      <c r="K1" s="110"/>
      <c r="L1" s="110"/>
      <c r="M1" s="110"/>
      <c r="N1" s="110"/>
      <c r="O1" s="110"/>
      <c r="P1" s="110"/>
    </row>
    <row r="2" spans="1:16" ht="16" thickBot="1" x14ac:dyDescent="0.4">
      <c r="A2" s="110"/>
      <c r="B2" s="196" t="str">
        <f>"ANNUAL HERDFLOW SUMMARY: "&amp;'General Info'!E3&amp;" "&amp;'General Info'!E4&amp;"FY"</f>
        <v>ANNUAL HERDFLOW SUMMARY: Example 2021FY</v>
      </c>
      <c r="C2" s="110"/>
      <c r="D2" s="196"/>
      <c r="E2" s="197"/>
      <c r="F2" s="197"/>
      <c r="G2" s="198"/>
      <c r="H2" s="110"/>
      <c r="I2" s="110"/>
      <c r="J2" s="110"/>
      <c r="K2" s="110"/>
      <c r="L2" s="110"/>
      <c r="M2" s="110"/>
      <c r="N2" s="110"/>
      <c r="O2" s="110"/>
      <c r="P2" s="110"/>
    </row>
    <row r="3" spans="1:16" ht="14.5" customHeight="1" thickBot="1" x14ac:dyDescent="0.4">
      <c r="A3" s="110"/>
      <c r="B3" s="317" t="s">
        <v>100</v>
      </c>
      <c r="C3" s="318"/>
      <c r="D3" s="319" t="s">
        <v>125</v>
      </c>
      <c r="E3" s="320"/>
      <c r="F3" s="320"/>
      <c r="G3" s="504" t="s">
        <v>124</v>
      </c>
      <c r="H3" s="491"/>
      <c r="I3" s="505"/>
      <c r="J3" s="321" t="s">
        <v>123</v>
      </c>
      <c r="K3" s="320"/>
      <c r="L3" s="322"/>
      <c r="M3" s="318"/>
      <c r="N3" s="110"/>
      <c r="O3" s="110"/>
      <c r="P3" s="110"/>
    </row>
    <row r="4" spans="1:16" ht="13.9" customHeight="1" x14ac:dyDescent="0.35">
      <c r="A4" s="110"/>
      <c r="B4" s="323"/>
      <c r="C4" s="368" t="s">
        <v>145</v>
      </c>
      <c r="D4" s="369" t="str">
        <f>HerdFlow!D5</f>
        <v>Jul 1</v>
      </c>
      <c r="E4" s="370" t="s">
        <v>122</v>
      </c>
      <c r="F4" s="371" t="s">
        <v>121</v>
      </c>
      <c r="G4" s="537" t="s">
        <v>283</v>
      </c>
      <c r="H4" s="509" t="s">
        <v>120</v>
      </c>
      <c r="I4" s="510" t="s">
        <v>119</v>
      </c>
      <c r="J4" s="485" t="s">
        <v>118</v>
      </c>
      <c r="K4" s="371" t="s">
        <v>116</v>
      </c>
      <c r="L4" s="372" t="str">
        <f>HerdFlow!M5</f>
        <v>Jun 30</v>
      </c>
      <c r="M4" s="368" t="s">
        <v>162</v>
      </c>
      <c r="N4" s="110"/>
      <c r="O4" s="113" t="s">
        <v>203</v>
      </c>
    </row>
    <row r="5" spans="1:16" x14ac:dyDescent="0.35">
      <c r="A5" s="110"/>
      <c r="B5" s="145" t="str">
        <f>HerdFlow!B6</f>
        <v>Speys &amp; Culls</v>
      </c>
      <c r="C5" s="146" t="str">
        <f>B5</f>
        <v>Speys &amp; Culls</v>
      </c>
      <c r="D5" s="155">
        <f>HerdFlow!D6</f>
        <v>0</v>
      </c>
      <c r="E5" s="156"/>
      <c r="F5" s="480">
        <f>HerdFlow!F6</f>
        <v>0</v>
      </c>
      <c r="G5" s="169"/>
      <c r="H5" s="499">
        <f>HerdFlow!H6</f>
        <v>36</v>
      </c>
      <c r="I5" s="492">
        <f>HerdFlow!I6</f>
        <v>0</v>
      </c>
      <c r="J5" s="486">
        <f>HerdFlow!J6</f>
        <v>0</v>
      </c>
      <c r="K5" s="156">
        <f>HerdFlow!L6</f>
        <v>4</v>
      </c>
      <c r="L5" s="157">
        <f>HerdFlow!M6</f>
        <v>32</v>
      </c>
      <c r="M5" s="146" t="str">
        <f>B5</f>
        <v>Speys &amp; Culls</v>
      </c>
      <c r="N5" s="110"/>
      <c r="O5" s="237">
        <f t="shared" ref="O5:O19" si="0">IF(SUM(D5:H5)=SUM(I5:L5),0,1)</f>
        <v>0</v>
      </c>
      <c r="P5" s="110"/>
    </row>
    <row r="6" spans="1:16" x14ac:dyDescent="0.35">
      <c r="A6" s="110"/>
      <c r="B6" s="147" t="str">
        <f>HerdFlow!B7</f>
        <v>Females #7+</v>
      </c>
      <c r="C6" s="148" t="str">
        <f>'General Info'!H46</f>
        <v>Mature Breeders</v>
      </c>
      <c r="D6" s="158">
        <f>HerdFlow!D7</f>
        <v>571</v>
      </c>
      <c r="E6" s="159"/>
      <c r="F6" s="481">
        <f>HerdFlow!F7</f>
        <v>0</v>
      </c>
      <c r="G6" s="173">
        <f>HerdFlow!G7</f>
        <v>0</v>
      </c>
      <c r="H6" s="500">
        <f>HerdFlow!H7</f>
        <v>0</v>
      </c>
      <c r="I6" s="493">
        <f>HerdFlow!I7</f>
        <v>36</v>
      </c>
      <c r="J6" s="487">
        <f>HerdFlow!J7</f>
        <v>143</v>
      </c>
      <c r="K6" s="159">
        <f>HerdFlow!L7</f>
        <v>16</v>
      </c>
      <c r="L6" s="160">
        <f>HerdFlow!M7</f>
        <v>376</v>
      </c>
      <c r="M6" s="148" t="str">
        <f>'General Info'!J46</f>
        <v>Mature Breeders</v>
      </c>
      <c r="N6" s="110"/>
      <c r="O6" s="237">
        <f t="shared" si="0"/>
        <v>0</v>
      </c>
      <c r="P6" s="110"/>
    </row>
    <row r="7" spans="1:16" x14ac:dyDescent="0.35">
      <c r="A7" s="110"/>
      <c r="B7" s="147" t="str">
        <f>HerdFlow!B8</f>
        <v>Females #8</v>
      </c>
      <c r="C7" s="148" t="str">
        <f>'General Info'!H47</f>
        <v>Joiner Heifers</v>
      </c>
      <c r="D7" s="158">
        <f>HerdFlow!D8</f>
        <v>147</v>
      </c>
      <c r="E7" s="159"/>
      <c r="F7" s="481">
        <f>HerdFlow!F8</f>
        <v>0</v>
      </c>
      <c r="G7" s="170">
        <f>HerdFlow!G8</f>
        <v>2</v>
      </c>
      <c r="H7" s="501">
        <f>HerdFlow!H8</f>
        <v>0</v>
      </c>
      <c r="I7" s="493">
        <f>HerdFlow!I8</f>
        <v>0</v>
      </c>
      <c r="J7" s="487">
        <f>HerdFlow!J8</f>
        <v>80</v>
      </c>
      <c r="K7" s="159">
        <f>HerdFlow!L8</f>
        <v>11</v>
      </c>
      <c r="L7" s="160">
        <f>HerdFlow!M8</f>
        <v>58</v>
      </c>
      <c r="M7" s="148" t="str">
        <f>'General Info'!J47</f>
        <v>First Calf Heifers</v>
      </c>
      <c r="N7" s="110"/>
      <c r="O7" s="237">
        <f t="shared" si="0"/>
        <v>0</v>
      </c>
      <c r="P7" s="110"/>
    </row>
    <row r="8" spans="1:16" x14ac:dyDescent="0.35">
      <c r="A8" s="110"/>
      <c r="B8" s="147" t="str">
        <f>HerdFlow!B9</f>
        <v>Females #9</v>
      </c>
      <c r="C8" s="148" t="str">
        <f>'General Info'!H48</f>
        <v>Replacement Heifers</v>
      </c>
      <c r="D8" s="158">
        <f>HerdFlow!D9</f>
        <v>203</v>
      </c>
      <c r="E8" s="159"/>
      <c r="F8" s="481">
        <f>HerdFlow!F9</f>
        <v>100</v>
      </c>
      <c r="G8" s="170">
        <f>HerdFlow!G9</f>
        <v>0</v>
      </c>
      <c r="H8" s="501">
        <f>HerdFlow!H9</f>
        <v>0</v>
      </c>
      <c r="I8" s="493">
        <f>HerdFlow!I9</f>
        <v>0</v>
      </c>
      <c r="J8" s="487">
        <f>HerdFlow!J9</f>
        <v>84</v>
      </c>
      <c r="K8" s="159">
        <f>HerdFlow!L9</f>
        <v>6</v>
      </c>
      <c r="L8" s="160">
        <f>HerdFlow!M9</f>
        <v>213</v>
      </c>
      <c r="M8" s="148" t="str">
        <f>'General Info'!J48</f>
        <v>Joiner Heifers</v>
      </c>
      <c r="N8" s="110"/>
      <c r="O8" s="237">
        <f t="shared" si="0"/>
        <v>0</v>
      </c>
      <c r="P8" s="110"/>
    </row>
    <row r="9" spans="1:16" x14ac:dyDescent="0.35">
      <c r="A9" s="110"/>
      <c r="B9" s="147" t="str">
        <f>HerdFlow!B10</f>
        <v>Females #0</v>
      </c>
      <c r="C9" s="148" t="str">
        <f>'General Info'!H49</f>
        <v>Weaner Heifers</v>
      </c>
      <c r="D9" s="158">
        <f>HerdFlow!D10</f>
        <v>300</v>
      </c>
      <c r="E9" s="159">
        <f>HerdFlow!E10</f>
        <v>0</v>
      </c>
      <c r="F9" s="481">
        <f>HerdFlow!F10</f>
        <v>0</v>
      </c>
      <c r="G9" s="170">
        <f>HerdFlow!G10</f>
        <v>0</v>
      </c>
      <c r="H9" s="501">
        <f>HerdFlow!H10</f>
        <v>0</v>
      </c>
      <c r="I9" s="493">
        <f>HerdFlow!I10</f>
        <v>0</v>
      </c>
      <c r="J9" s="487">
        <f>HerdFlow!J10</f>
        <v>0</v>
      </c>
      <c r="K9" s="159">
        <f>HerdFlow!L10</f>
        <v>6</v>
      </c>
      <c r="L9" s="160">
        <f>HerdFlow!M10</f>
        <v>294</v>
      </c>
      <c r="M9" s="148" t="str">
        <f>'General Info'!J49</f>
        <v>Replacement Heifers</v>
      </c>
      <c r="N9" s="110"/>
      <c r="O9" s="237">
        <f t="shared" si="0"/>
        <v>0</v>
      </c>
      <c r="P9" s="110"/>
    </row>
    <row r="10" spans="1:16" x14ac:dyDescent="0.35">
      <c r="A10" s="110"/>
      <c r="B10" s="147" t="str">
        <f>HerdFlow!B11</f>
        <v>Females #1</v>
      </c>
      <c r="C10" s="149" t="str">
        <f>'General Info'!H50</f>
        <v xml:space="preserve">Foetus </v>
      </c>
      <c r="D10" s="158">
        <f>HerdFlow!D11</f>
        <v>0</v>
      </c>
      <c r="E10" s="159">
        <f>HerdFlow!E11</f>
        <v>0</v>
      </c>
      <c r="F10" s="481">
        <f>HerdFlow!F11</f>
        <v>0</v>
      </c>
      <c r="G10" s="172"/>
      <c r="H10" s="502">
        <f>HerdFlow!H11</f>
        <v>278</v>
      </c>
      <c r="I10" s="493">
        <f>HerdFlow!I11</f>
        <v>0</v>
      </c>
      <c r="J10" s="487">
        <f>HerdFlow!J11</f>
        <v>0</v>
      </c>
      <c r="K10" s="159">
        <f>HerdFlow!L11</f>
        <v>1</v>
      </c>
      <c r="L10" s="160">
        <f>HerdFlow!M11</f>
        <v>277</v>
      </c>
      <c r="M10" s="149" t="str">
        <f>'General Info'!J50</f>
        <v>Weaner Heifers</v>
      </c>
      <c r="N10" s="110"/>
      <c r="O10" s="237">
        <f t="shared" si="0"/>
        <v>0</v>
      </c>
      <c r="P10" s="110"/>
    </row>
    <row r="11" spans="1:16" x14ac:dyDescent="0.35">
      <c r="A11" s="110"/>
      <c r="B11" s="145" t="str">
        <f>HerdFlow!B12</f>
        <v>Mixed #1</v>
      </c>
      <c r="C11" s="146" t="str">
        <f>C10</f>
        <v xml:space="preserve">Foetus </v>
      </c>
      <c r="D11" s="161">
        <f>HerdFlow!D12</f>
        <v>0</v>
      </c>
      <c r="E11" s="162">
        <f>HerdFlow!E12</f>
        <v>560</v>
      </c>
      <c r="F11" s="482">
        <f>HerdFlow!F12</f>
        <v>0</v>
      </c>
      <c r="G11" s="171"/>
      <c r="H11" s="503">
        <f>HerdFlow!H12</f>
        <v>0</v>
      </c>
      <c r="I11" s="494">
        <f>HerdFlow!I12</f>
        <v>553</v>
      </c>
      <c r="J11" s="488">
        <f>HerdFlow!J12</f>
        <v>0</v>
      </c>
      <c r="K11" s="162">
        <f>HerdFlow!L12</f>
        <v>7</v>
      </c>
      <c r="L11" s="163">
        <f>HerdFlow!M12</f>
        <v>0</v>
      </c>
      <c r="M11" s="146" t="s">
        <v>20</v>
      </c>
      <c r="N11" s="110"/>
      <c r="O11" s="237">
        <f t="shared" si="0"/>
        <v>0</v>
      </c>
    </row>
    <row r="12" spans="1:16" x14ac:dyDescent="0.35">
      <c r="A12" s="110"/>
      <c r="B12" s="147" t="str">
        <f>HerdFlow!B13</f>
        <v>Steers #8+</v>
      </c>
      <c r="C12" s="148" t="str">
        <f>'General Info'!H51</f>
        <v>Bullocks</v>
      </c>
      <c r="D12" s="158">
        <f>HerdFlow!D13</f>
        <v>0</v>
      </c>
      <c r="E12" s="159"/>
      <c r="F12" s="481">
        <f>HerdFlow!F13</f>
        <v>0</v>
      </c>
      <c r="G12" s="173">
        <f>HerdFlow!G13</f>
        <v>0</v>
      </c>
      <c r="H12" s="500">
        <f>HerdFlow!H13</f>
        <v>0</v>
      </c>
      <c r="I12" s="493">
        <f>HerdFlow!I13</f>
        <v>0</v>
      </c>
      <c r="J12" s="487">
        <f>HerdFlow!J13</f>
        <v>0</v>
      </c>
      <c r="K12" s="159">
        <f>HerdFlow!L13</f>
        <v>0</v>
      </c>
      <c r="L12" s="160">
        <f>HerdFlow!M13</f>
        <v>0</v>
      </c>
      <c r="M12" s="148" t="str">
        <f>'General Info'!J51</f>
        <v>Bullocks</v>
      </c>
      <c r="N12" s="110"/>
      <c r="O12" s="237">
        <f t="shared" si="0"/>
        <v>0</v>
      </c>
      <c r="P12" s="110"/>
    </row>
    <row r="13" spans="1:16" x14ac:dyDescent="0.35">
      <c r="A13" s="110"/>
      <c r="B13" s="147" t="str">
        <f>HerdFlow!B14</f>
        <v>Steers #9</v>
      </c>
      <c r="C13" s="148" t="str">
        <f>'General Info'!H52</f>
        <v>Young Steers</v>
      </c>
      <c r="D13" s="158">
        <f>HerdFlow!D14</f>
        <v>280</v>
      </c>
      <c r="E13" s="159"/>
      <c r="F13" s="481">
        <f>HerdFlow!F14</f>
        <v>0</v>
      </c>
      <c r="G13" s="170">
        <f>HerdFlow!G14</f>
        <v>0</v>
      </c>
      <c r="H13" s="501">
        <f>HerdFlow!H14</f>
        <v>0</v>
      </c>
      <c r="I13" s="493">
        <f>HerdFlow!I14</f>
        <v>0</v>
      </c>
      <c r="J13" s="487">
        <f>HerdFlow!J14</f>
        <v>276</v>
      </c>
      <c r="K13" s="159">
        <f>HerdFlow!L14</f>
        <v>4</v>
      </c>
      <c r="L13" s="160">
        <f>HerdFlow!M14</f>
        <v>0</v>
      </c>
      <c r="M13" s="148" t="str">
        <f>'General Info'!J52</f>
        <v>Grown Steers</v>
      </c>
      <c r="N13" s="110"/>
      <c r="O13" s="237">
        <f t="shared" si="0"/>
        <v>0</v>
      </c>
      <c r="P13" s="110"/>
    </row>
    <row r="14" spans="1:16" x14ac:dyDescent="0.35">
      <c r="A14" s="110"/>
      <c r="B14" s="147" t="str">
        <f>HerdFlow!B15</f>
        <v>Steers #0</v>
      </c>
      <c r="C14" s="148" t="str">
        <f>'General Info'!H53</f>
        <v>Weaner Steers</v>
      </c>
      <c r="D14" s="158">
        <f>HerdFlow!D15</f>
        <v>300</v>
      </c>
      <c r="E14" s="159">
        <f>HerdFlow!E15</f>
        <v>0</v>
      </c>
      <c r="F14" s="481">
        <f>HerdFlow!F15</f>
        <v>0</v>
      </c>
      <c r="G14" s="170">
        <f>HerdFlow!G15</f>
        <v>0</v>
      </c>
      <c r="H14" s="501">
        <f>HerdFlow!H15</f>
        <v>0</v>
      </c>
      <c r="I14" s="493">
        <f>HerdFlow!I15</f>
        <v>0</v>
      </c>
      <c r="J14" s="487">
        <f>HerdFlow!J15</f>
        <v>48</v>
      </c>
      <c r="K14" s="159">
        <f>HerdFlow!L15</f>
        <v>5</v>
      </c>
      <c r="L14" s="160">
        <f>HerdFlow!M15</f>
        <v>247</v>
      </c>
      <c r="M14" s="148" t="str">
        <f>'General Info'!J53</f>
        <v>Young Steers</v>
      </c>
      <c r="N14" s="110"/>
      <c r="O14" s="237">
        <f t="shared" si="0"/>
        <v>0</v>
      </c>
      <c r="P14" s="110"/>
    </row>
    <row r="15" spans="1:16" x14ac:dyDescent="0.35">
      <c r="A15" s="110"/>
      <c r="B15" s="150" t="str">
        <f>HerdFlow!B16</f>
        <v>Steers #1</v>
      </c>
      <c r="C15" s="149" t="str">
        <f>'General Info'!H54</f>
        <v xml:space="preserve">Foetus </v>
      </c>
      <c r="D15" s="158">
        <f>HerdFlow!D16</f>
        <v>0</v>
      </c>
      <c r="E15" s="164">
        <f>HerdFlow!E16</f>
        <v>0</v>
      </c>
      <c r="F15" s="483">
        <f>HerdFlow!F16</f>
        <v>0</v>
      </c>
      <c r="G15" s="172"/>
      <c r="H15" s="502">
        <f>HerdFlow!H16</f>
        <v>275</v>
      </c>
      <c r="I15" s="495">
        <f>HerdFlow!I16</f>
        <v>0</v>
      </c>
      <c r="J15" s="489">
        <f>HerdFlow!J16</f>
        <v>0</v>
      </c>
      <c r="K15" s="164">
        <f>HerdFlow!L16</f>
        <v>1</v>
      </c>
      <c r="L15" s="165">
        <f>HerdFlow!M16</f>
        <v>274</v>
      </c>
      <c r="M15" s="149" t="str">
        <f>'General Info'!J54</f>
        <v>Weaner Steers</v>
      </c>
      <c r="N15" s="110"/>
      <c r="O15" s="237">
        <f t="shared" si="0"/>
        <v>0</v>
      </c>
      <c r="P15" s="110"/>
    </row>
    <row r="16" spans="1:16" x14ac:dyDescent="0.35">
      <c r="A16" s="110"/>
      <c r="B16" s="151" t="str">
        <f>HerdFlow!B17</f>
        <v>Bulls #8+</v>
      </c>
      <c r="C16" s="152" t="str">
        <f>'General Info'!H55</f>
        <v>Mature Bulls</v>
      </c>
      <c r="D16" s="166">
        <f>HerdFlow!D17</f>
        <v>44</v>
      </c>
      <c r="E16" s="167"/>
      <c r="F16" s="484">
        <f>HerdFlow!F17</f>
        <v>0</v>
      </c>
      <c r="G16" s="173">
        <f>HerdFlow!G17</f>
        <v>0</v>
      </c>
      <c r="H16" s="500">
        <f>HerdFlow!H17</f>
        <v>0</v>
      </c>
      <c r="I16" s="496">
        <f>HerdFlow!I17</f>
        <v>0</v>
      </c>
      <c r="J16" s="490">
        <f>HerdFlow!J17</f>
        <v>0</v>
      </c>
      <c r="K16" s="167">
        <f>HerdFlow!L17</f>
        <v>8</v>
      </c>
      <c r="L16" s="168">
        <f>HerdFlow!M17</f>
        <v>36</v>
      </c>
      <c r="M16" s="152" t="str">
        <f>'General Info'!J55</f>
        <v>Mature Bulls</v>
      </c>
      <c r="N16" s="110"/>
      <c r="O16" s="237">
        <f t="shared" si="0"/>
        <v>0</v>
      </c>
      <c r="P16" s="110"/>
    </row>
    <row r="17" spans="1:16" x14ac:dyDescent="0.35">
      <c r="A17" s="110"/>
      <c r="B17" s="147" t="str">
        <f>HerdFlow!B18</f>
        <v>Bulls #9</v>
      </c>
      <c r="C17" s="148" t="str">
        <f>'General Info'!H56</f>
        <v>Young Bulls</v>
      </c>
      <c r="D17" s="158">
        <f>HerdFlow!D18</f>
        <v>0</v>
      </c>
      <c r="E17" s="159"/>
      <c r="F17" s="481">
        <f>HerdFlow!F18</f>
        <v>5</v>
      </c>
      <c r="G17" s="170">
        <f>HerdFlow!G18</f>
        <v>0</v>
      </c>
      <c r="H17" s="501">
        <f>HerdFlow!H18</f>
        <v>0</v>
      </c>
      <c r="I17" s="493">
        <f>HerdFlow!I18</f>
        <v>0</v>
      </c>
      <c r="J17" s="487">
        <f>HerdFlow!J18</f>
        <v>0</v>
      </c>
      <c r="K17" s="159">
        <f>HerdFlow!L18</f>
        <v>0</v>
      </c>
      <c r="L17" s="160">
        <f>HerdFlow!M18</f>
        <v>5</v>
      </c>
      <c r="M17" s="148" t="str">
        <f>'General Info'!J56</f>
        <v>Grown Bulls</v>
      </c>
      <c r="N17" s="110"/>
      <c r="O17" s="237">
        <f t="shared" si="0"/>
        <v>0</v>
      </c>
      <c r="P17" s="110"/>
    </row>
    <row r="18" spans="1:16" x14ac:dyDescent="0.35">
      <c r="A18" s="110"/>
      <c r="B18" s="147" t="str">
        <f>HerdFlow!B19</f>
        <v>Bulls #0</v>
      </c>
      <c r="C18" s="148" t="str">
        <f>'General Info'!H57</f>
        <v>Weaner Bulls</v>
      </c>
      <c r="D18" s="158">
        <f>HerdFlow!D19</f>
        <v>0</v>
      </c>
      <c r="E18" s="159">
        <f>HerdFlow!E19</f>
        <v>0</v>
      </c>
      <c r="F18" s="481">
        <f>HerdFlow!F19</f>
        <v>0</v>
      </c>
      <c r="G18" s="170">
        <f>HerdFlow!G19</f>
        <v>0</v>
      </c>
      <c r="H18" s="501">
        <f>HerdFlow!H19</f>
        <v>0</v>
      </c>
      <c r="I18" s="493">
        <f>HerdFlow!I19</f>
        <v>0</v>
      </c>
      <c r="J18" s="487">
        <f>HerdFlow!J19</f>
        <v>0</v>
      </c>
      <c r="K18" s="159">
        <f>HerdFlow!L19</f>
        <v>0</v>
      </c>
      <c r="L18" s="160">
        <f>HerdFlow!M19</f>
        <v>0</v>
      </c>
      <c r="M18" s="148" t="str">
        <f>'General Info'!J57</f>
        <v>Young Bulls</v>
      </c>
      <c r="N18" s="110"/>
      <c r="O18" s="237">
        <f t="shared" si="0"/>
        <v>0</v>
      </c>
    </row>
    <row r="19" spans="1:16" ht="15" thickBot="1" x14ac:dyDescent="0.4">
      <c r="A19" s="110"/>
      <c r="B19" s="153" t="str">
        <f>HerdFlow!B20</f>
        <v>Bulls #1</v>
      </c>
      <c r="C19" s="154" t="str">
        <f>'General Info'!H58</f>
        <v xml:space="preserve">Foetus </v>
      </c>
      <c r="D19" s="158">
        <f>HerdFlow!D20</f>
        <v>0</v>
      </c>
      <c r="E19" s="159">
        <f>HerdFlow!E20</f>
        <v>0</v>
      </c>
      <c r="F19" s="481">
        <f>HerdFlow!F20</f>
        <v>0</v>
      </c>
      <c r="G19" s="508"/>
      <c r="H19" s="507">
        <f>HerdFlow!H20</f>
        <v>0</v>
      </c>
      <c r="I19" s="497">
        <f>HerdFlow!I20</f>
        <v>0</v>
      </c>
      <c r="J19" s="487">
        <f>HerdFlow!J20</f>
        <v>0</v>
      </c>
      <c r="K19" s="159">
        <f>HerdFlow!L20</f>
        <v>0</v>
      </c>
      <c r="L19" s="160">
        <f>HerdFlow!M20</f>
        <v>0</v>
      </c>
      <c r="M19" s="154" t="str">
        <f>'General Info'!J58</f>
        <v>Weaner Bulls</v>
      </c>
      <c r="N19" s="110"/>
      <c r="O19" s="237">
        <f t="shared" si="0"/>
        <v>0</v>
      </c>
      <c r="P19" s="110"/>
    </row>
    <row r="20" spans="1:16" ht="15" thickBot="1" x14ac:dyDescent="0.4">
      <c r="A20" s="110"/>
      <c r="B20" s="110"/>
      <c r="C20" s="110"/>
      <c r="D20" s="94">
        <f>SUM(D5:D19)</f>
        <v>1845</v>
      </c>
      <c r="E20" s="93">
        <f>SUM(E5:E19)</f>
        <v>560</v>
      </c>
      <c r="F20" s="92">
        <f>SUM(F5:F19)</f>
        <v>105</v>
      </c>
      <c r="G20" s="538">
        <f>SUM(G5:G19)</f>
        <v>2</v>
      </c>
      <c r="H20" s="498"/>
      <c r="I20" s="506"/>
      <c r="J20" s="94">
        <f>SUM(J5:J19)</f>
        <v>631</v>
      </c>
      <c r="K20" s="91">
        <f>SUM(K5:K19)</f>
        <v>69</v>
      </c>
      <c r="L20" s="90">
        <f>SUM(L5:L19)</f>
        <v>1812</v>
      </c>
      <c r="M20" s="17"/>
      <c r="N20" s="110"/>
      <c r="O20" s="237">
        <f>IF(SUM(D20:G20)=SUM(I20:L20),0,1)</f>
        <v>0</v>
      </c>
      <c r="P20" s="110"/>
    </row>
    <row r="21" spans="1:16" x14ac:dyDescent="0.35">
      <c r="A21" s="110"/>
      <c r="B21" s="110"/>
      <c r="C21" s="110"/>
      <c r="D21" s="110"/>
      <c r="E21" s="110"/>
      <c r="F21" s="110"/>
      <c r="G21" s="110"/>
      <c r="H21" s="110"/>
      <c r="I21" s="110"/>
      <c r="J21" s="110"/>
      <c r="K21" s="110"/>
      <c r="L21" s="110"/>
      <c r="M21" s="110"/>
      <c r="N21" s="110"/>
      <c r="O21" s="110"/>
      <c r="P21" s="110"/>
    </row>
    <row r="22" spans="1:16" x14ac:dyDescent="0.35">
      <c r="A22" s="110"/>
      <c r="B22" s="113" t="s">
        <v>144</v>
      </c>
      <c r="C22" s="110"/>
      <c r="D22" s="110"/>
      <c r="E22" s="110"/>
      <c r="F22" s="110"/>
      <c r="G22" s="110"/>
      <c r="H22" s="110"/>
      <c r="I22" s="110"/>
      <c r="J22" s="110"/>
      <c r="K22" s="110"/>
      <c r="L22" s="110"/>
      <c r="M22" s="110"/>
      <c r="N22" s="110"/>
      <c r="O22" s="110"/>
      <c r="P22" s="110"/>
    </row>
    <row r="23" spans="1:16" ht="15.5" x14ac:dyDescent="0.35">
      <c r="A23" s="110"/>
      <c r="B23" s="205" t="s">
        <v>143</v>
      </c>
      <c r="C23" s="542">
        <f ca="1">HerdFlow!U138</f>
        <v>1623.9134425914037</v>
      </c>
      <c r="D23" s="110"/>
      <c r="E23" s="546" t="s">
        <v>295</v>
      </c>
      <c r="F23" s="110"/>
      <c r="G23" s="110"/>
      <c r="H23" s="110"/>
      <c r="I23" s="110"/>
      <c r="J23" s="110"/>
      <c r="K23" s="110"/>
      <c r="L23" s="110"/>
      <c r="M23" s="110"/>
      <c r="N23" s="110"/>
      <c r="O23" s="110"/>
    </row>
    <row r="24" spans="1:16" ht="15.5" x14ac:dyDescent="0.35">
      <c r="A24" s="110"/>
      <c r="B24" s="543" t="s">
        <v>198</v>
      </c>
      <c r="C24" s="544">
        <f ca="1">F36/C23</f>
        <v>126.50284988773831</v>
      </c>
      <c r="D24" s="110"/>
      <c r="E24" s="546" t="s">
        <v>296</v>
      </c>
      <c r="F24" s="110"/>
      <c r="G24" s="110"/>
      <c r="H24" s="110"/>
      <c r="I24" s="110"/>
      <c r="J24" s="110"/>
      <c r="K24" s="110"/>
      <c r="L24" s="110"/>
      <c r="M24" s="110"/>
      <c r="N24" s="110"/>
      <c r="O24" s="110"/>
      <c r="P24" s="110"/>
    </row>
    <row r="25" spans="1:16" x14ac:dyDescent="0.35">
      <c r="A25" s="110"/>
      <c r="B25" s="239" t="s">
        <v>190</v>
      </c>
      <c r="C25" s="545">
        <f>IF(AND(HerdFlow!P36&gt;0,HerdFlow!P37&gt;0,HerdFlow!P38&gt;0,HerdFlow!P39&gt;0),HerdFlow!P43,HerdFlow!P30)</f>
        <v>0.71072500000000005</v>
      </c>
      <c r="D25" s="110"/>
      <c r="F25" s="110"/>
      <c r="G25" s="110"/>
      <c r="H25" s="110"/>
      <c r="I25" s="110"/>
      <c r="J25" s="110"/>
      <c r="K25" s="110"/>
      <c r="L25" s="110"/>
      <c r="M25" s="110"/>
      <c r="N25" s="110"/>
      <c r="O25" s="110"/>
      <c r="P25" s="110"/>
    </row>
    <row r="26" spans="1:16" ht="15.5" x14ac:dyDescent="0.35">
      <c r="A26" s="110"/>
      <c r="B26" s="194" t="s">
        <v>142</v>
      </c>
      <c r="C26" s="378">
        <f>(K20-K11-G20)/AVERAGE(D20,L20)</f>
        <v>3.2813781788351107E-2</v>
      </c>
      <c r="D26" s="110"/>
      <c r="E26" s="546" t="s">
        <v>297</v>
      </c>
      <c r="F26" s="110"/>
      <c r="G26" s="110"/>
      <c r="H26" s="110"/>
      <c r="I26" s="110"/>
      <c r="J26" s="110"/>
      <c r="K26" s="110"/>
      <c r="L26" s="110"/>
      <c r="M26" s="110"/>
      <c r="N26" s="110"/>
      <c r="O26" s="110"/>
      <c r="P26" s="110"/>
    </row>
    <row r="27" spans="1:16" ht="15.5" x14ac:dyDescent="0.35">
      <c r="A27" s="110"/>
      <c r="B27" s="149" t="s">
        <v>199</v>
      </c>
      <c r="C27" s="379">
        <f>D56</f>
        <v>412.97147385103011</v>
      </c>
      <c r="D27" s="110"/>
      <c r="E27" s="546" t="s">
        <v>298</v>
      </c>
      <c r="F27" s="110"/>
      <c r="G27" s="110"/>
      <c r="H27" s="110"/>
      <c r="I27" s="110"/>
      <c r="J27" s="110"/>
      <c r="K27" s="110"/>
      <c r="L27" s="110"/>
      <c r="M27" s="110"/>
      <c r="N27" s="110"/>
      <c r="O27" s="110"/>
      <c r="P27" s="110"/>
    </row>
    <row r="28" spans="1:16" ht="15.5" x14ac:dyDescent="0.35">
      <c r="A28" s="110"/>
      <c r="B28" s="180"/>
      <c r="C28" s="181"/>
      <c r="D28" s="110"/>
      <c r="E28" s="546" t="s">
        <v>299</v>
      </c>
      <c r="F28" s="110"/>
      <c r="G28" s="110"/>
      <c r="H28" s="110"/>
      <c r="I28" s="110"/>
      <c r="J28" s="110"/>
      <c r="K28" s="110"/>
      <c r="L28" s="110"/>
      <c r="M28" s="110"/>
      <c r="N28" s="110"/>
      <c r="O28" s="110"/>
      <c r="P28" s="110"/>
    </row>
    <row r="29" spans="1:16" x14ac:dyDescent="0.35">
      <c r="A29" s="110"/>
      <c r="B29" s="113" t="s">
        <v>202</v>
      </c>
      <c r="C29" s="110"/>
      <c r="D29" s="110"/>
      <c r="E29" s="110"/>
      <c r="F29" s="110"/>
      <c r="G29" s="110"/>
      <c r="H29" s="110"/>
      <c r="I29" s="110"/>
      <c r="J29" s="110"/>
      <c r="K29" s="110"/>
      <c r="L29" s="110"/>
      <c r="M29" s="110"/>
      <c r="N29" s="110"/>
      <c r="O29" s="110"/>
      <c r="P29" s="110"/>
    </row>
    <row r="30" spans="1:16" x14ac:dyDescent="0.35">
      <c r="A30" s="110"/>
      <c r="B30" s="294"/>
      <c r="C30" s="297" t="s">
        <v>85</v>
      </c>
      <c r="D30" s="567" t="s">
        <v>251</v>
      </c>
      <c r="E30" s="567"/>
      <c r="F30" s="567" t="s">
        <v>252</v>
      </c>
      <c r="G30" s="567"/>
      <c r="H30" s="110"/>
      <c r="I30" s="110"/>
      <c r="J30" s="110"/>
      <c r="K30" s="110"/>
      <c r="L30" s="110"/>
      <c r="M30" s="110"/>
      <c r="N30" s="110"/>
      <c r="O30" s="110"/>
      <c r="P30" s="110"/>
    </row>
    <row r="31" spans="1:16" x14ac:dyDescent="0.35">
      <c r="A31" s="110"/>
      <c r="B31" s="239" t="s">
        <v>141</v>
      </c>
      <c r="C31" s="429">
        <f>C56</f>
        <v>631</v>
      </c>
      <c r="D31" s="573">
        <f>HerdFlow!I77</f>
        <v>776956.5</v>
      </c>
      <c r="E31" s="573"/>
      <c r="F31" s="568">
        <f>HerdFlow!J77</f>
        <v>260585</v>
      </c>
      <c r="G31" s="568"/>
      <c r="H31" s="110"/>
      <c r="I31" s="110"/>
      <c r="J31" s="547" t="s">
        <v>300</v>
      </c>
      <c r="K31" s="110"/>
      <c r="L31" s="110"/>
      <c r="M31" s="110"/>
      <c r="N31" s="110"/>
      <c r="O31" s="110"/>
      <c r="P31" s="110"/>
    </row>
    <row r="32" spans="1:16" x14ac:dyDescent="0.35">
      <c r="A32" s="110"/>
      <c r="B32" s="194" t="s">
        <v>140</v>
      </c>
      <c r="C32" s="430">
        <f>C76</f>
        <v>105</v>
      </c>
      <c r="D32" s="564">
        <f>-HerdFlow!I131</f>
        <v>-116000</v>
      </c>
      <c r="E32" s="564"/>
      <c r="F32" s="565">
        <f>-HerdFlow!J131</f>
        <v>-38250</v>
      </c>
      <c r="G32" s="565"/>
      <c r="H32" s="110"/>
      <c r="I32" s="110"/>
      <c r="J32" s="110"/>
      <c r="K32" s="110"/>
      <c r="L32" s="110"/>
      <c r="M32" s="110"/>
      <c r="N32" s="110"/>
      <c r="O32" s="110"/>
      <c r="P32" s="110"/>
    </row>
    <row r="33" spans="1:16" x14ac:dyDescent="0.35">
      <c r="A33" s="110"/>
      <c r="B33" s="194" t="s">
        <v>250</v>
      </c>
      <c r="C33" s="430">
        <f>C35-C34</f>
        <v>-33</v>
      </c>
      <c r="D33" s="564">
        <f ca="1">D35-D34</f>
        <v>-21236.298548189923</v>
      </c>
      <c r="E33" s="564"/>
      <c r="F33" s="565">
        <f ca="1">F35-F34</f>
        <v>-16905.321541179321</v>
      </c>
      <c r="G33" s="565"/>
      <c r="H33" s="110"/>
      <c r="I33" s="110"/>
      <c r="J33" s="110"/>
      <c r="K33" s="110"/>
      <c r="L33" s="110"/>
      <c r="M33" s="110"/>
      <c r="N33" s="110"/>
      <c r="O33" s="110"/>
      <c r="P33" s="110"/>
    </row>
    <row r="34" spans="1:16" x14ac:dyDescent="0.35">
      <c r="A34" s="110"/>
      <c r="B34" s="436" t="s">
        <v>177</v>
      </c>
      <c r="C34" s="437">
        <f>D20</f>
        <v>1845</v>
      </c>
      <c r="D34" s="575">
        <f ca="1">SUMPRODUCT(D5:D19,E82:E96)</f>
        <v>1466708.5990684263</v>
      </c>
      <c r="E34" s="575"/>
      <c r="F34" s="570">
        <f ca="1">HerdFlow!AJ27</f>
        <v>621436.46071761893</v>
      </c>
      <c r="G34" s="570"/>
      <c r="H34" s="110"/>
      <c r="I34" s="110"/>
      <c r="J34" s="110"/>
      <c r="K34" s="110"/>
      <c r="L34" s="110"/>
      <c r="M34" s="110"/>
      <c r="N34" s="110"/>
      <c r="O34" s="110"/>
      <c r="P34" s="110"/>
    </row>
    <row r="35" spans="1:16" x14ac:dyDescent="0.35">
      <c r="A35" s="110"/>
      <c r="B35" s="435" t="s">
        <v>178</v>
      </c>
      <c r="C35" s="438">
        <f>L20</f>
        <v>1812</v>
      </c>
      <c r="D35" s="574">
        <f ca="1">SUMPRODUCT(L5:L19,H82:H96)</f>
        <v>1445472.3005202364</v>
      </c>
      <c r="E35" s="574"/>
      <c r="F35" s="569">
        <f ca="1">HerdFlow!AJ28</f>
        <v>604531.13917643961</v>
      </c>
      <c r="G35" s="569"/>
      <c r="H35" s="110"/>
      <c r="I35" s="110"/>
      <c r="J35" s="110"/>
      <c r="K35" s="110"/>
      <c r="L35" s="110"/>
      <c r="M35" s="110"/>
      <c r="N35" s="110"/>
      <c r="O35" s="110"/>
      <c r="P35" s="110"/>
    </row>
    <row r="36" spans="1:16" x14ac:dyDescent="0.35">
      <c r="A36" s="110"/>
      <c r="B36" s="414" t="s">
        <v>201</v>
      </c>
      <c r="C36" s="415"/>
      <c r="D36" s="576">
        <f ca="1">SUM(D31:D33)</f>
        <v>639720.20145181008</v>
      </c>
      <c r="E36" s="576"/>
      <c r="F36" s="571">
        <f ca="1">SUM(F31:F33)</f>
        <v>205429.67845882068</v>
      </c>
      <c r="G36" s="571"/>
      <c r="H36" s="110"/>
      <c r="I36" s="110"/>
      <c r="J36" s="110"/>
      <c r="K36" s="110"/>
      <c r="L36" s="110"/>
      <c r="M36" s="110"/>
      <c r="N36" s="110"/>
      <c r="O36" s="110"/>
      <c r="P36" s="110"/>
    </row>
    <row r="37" spans="1:16" x14ac:dyDescent="0.35">
      <c r="A37" s="110"/>
      <c r="B37" s="382" t="s">
        <v>204</v>
      </c>
      <c r="C37" s="383"/>
      <c r="D37" s="566">
        <f ca="1">D36/C23</f>
        <v>393.93737663194617</v>
      </c>
      <c r="E37" s="566"/>
      <c r="F37" s="572">
        <f ca="1">F36/C23</f>
        <v>126.50284988773831</v>
      </c>
      <c r="G37" s="572"/>
      <c r="H37" s="110"/>
      <c r="I37" s="110"/>
      <c r="J37" s="110"/>
      <c r="K37" s="110"/>
      <c r="L37" s="110"/>
      <c r="M37" s="110"/>
      <c r="N37" s="110"/>
      <c r="O37" s="110"/>
      <c r="P37" s="110"/>
    </row>
    <row r="38" spans="1:16" x14ac:dyDescent="0.35">
      <c r="A38" s="110"/>
      <c r="B38" s="113"/>
      <c r="C38" s="114"/>
      <c r="D38" s="110"/>
      <c r="E38" s="110"/>
      <c r="F38" s="110"/>
      <c r="G38" s="110"/>
      <c r="H38" s="110"/>
      <c r="I38" s="110"/>
      <c r="J38" s="110"/>
      <c r="K38" s="110"/>
      <c r="L38" s="110"/>
      <c r="M38" s="110"/>
      <c r="N38" s="110"/>
      <c r="O38" s="110"/>
      <c r="P38" s="110"/>
    </row>
    <row r="39" spans="1:16" x14ac:dyDescent="0.35">
      <c r="A39" s="110"/>
      <c r="B39" s="112" t="s">
        <v>139</v>
      </c>
      <c r="C39" s="110"/>
      <c r="D39" s="111"/>
      <c r="E39" s="110"/>
      <c r="F39" s="110"/>
      <c r="G39" s="110"/>
      <c r="H39" s="110"/>
      <c r="I39" s="110"/>
      <c r="J39" s="110"/>
      <c r="K39" s="110"/>
      <c r="L39" s="110"/>
      <c r="M39" s="110"/>
      <c r="N39" s="110"/>
      <c r="O39" s="110"/>
      <c r="P39" s="110"/>
    </row>
    <row r="40" spans="1:16" x14ac:dyDescent="0.35">
      <c r="A40" s="110"/>
      <c r="B40" s="373" t="s">
        <v>3</v>
      </c>
      <c r="C40" s="373" t="s">
        <v>85</v>
      </c>
      <c r="D40" s="374" t="s">
        <v>179</v>
      </c>
      <c r="E40" s="373" t="s">
        <v>136</v>
      </c>
      <c r="F40" s="373" t="s">
        <v>180</v>
      </c>
      <c r="G40" s="110"/>
      <c r="H40" s="110"/>
      <c r="I40" s="110"/>
      <c r="J40" s="110"/>
      <c r="K40" s="110"/>
      <c r="L40" s="110"/>
      <c r="M40" s="110"/>
      <c r="N40" s="110"/>
      <c r="O40" s="110"/>
      <c r="P40" s="110"/>
    </row>
    <row r="41" spans="1:16" x14ac:dyDescent="0.35">
      <c r="A41" s="110"/>
      <c r="B41" s="152" t="str">
        <f t="shared" ref="B41:B55" si="1">B5</f>
        <v>Speys &amp; Culls</v>
      </c>
      <c r="C41" s="377">
        <f>SUM(HerdFlow!U6:AF6)</f>
        <v>0</v>
      </c>
      <c r="D41" s="377">
        <f>IF(C41=0,0,SUM(HerdFlow!U74:AF74)/Summary!C41)</f>
        <v>0</v>
      </c>
      <c r="E41" s="384">
        <f>IF(C41=0,0,SUM(HerdFlow!U40:AF40)/Summary!C41)</f>
        <v>0</v>
      </c>
      <c r="F41" s="385">
        <f>IF(C41=0,0,E41/Summary!D41)</f>
        <v>0</v>
      </c>
      <c r="G41" s="110"/>
      <c r="H41" s="110"/>
      <c r="I41" s="110"/>
      <c r="J41" s="110"/>
      <c r="K41" s="110"/>
      <c r="L41" s="110"/>
      <c r="M41" s="110"/>
      <c r="N41" s="110"/>
      <c r="O41" s="110"/>
      <c r="P41" s="110"/>
    </row>
    <row r="42" spans="1:16" x14ac:dyDescent="0.35">
      <c r="A42" s="110"/>
      <c r="B42" s="386" t="str">
        <f t="shared" si="1"/>
        <v>Females #7+</v>
      </c>
      <c r="C42" s="387">
        <f>SUM(HerdFlow!U7:AF7)</f>
        <v>143</v>
      </c>
      <c r="D42" s="387">
        <f>IF(C42=0,0,SUM(HerdFlow!U75:AF75)/Summary!C42)</f>
        <v>468.42657342657344</v>
      </c>
      <c r="E42" s="388">
        <f>IF(C42=0,0,SUM(HerdFlow!U41:AF41)/Summary!C42)</f>
        <v>1079.1475524475525</v>
      </c>
      <c r="F42" s="389">
        <f>IF(C42=0,0,E42/Summary!D42)</f>
        <v>2.3037709935060087</v>
      </c>
      <c r="G42" s="110"/>
      <c r="H42" s="110"/>
      <c r="I42" s="110"/>
      <c r="J42" s="110"/>
      <c r="K42" s="110"/>
      <c r="L42" s="110"/>
      <c r="M42" s="110"/>
      <c r="N42" s="110"/>
      <c r="O42" s="110"/>
      <c r="P42" s="110"/>
    </row>
    <row r="43" spans="1:16" x14ac:dyDescent="0.35">
      <c r="A43" s="110"/>
      <c r="B43" s="148" t="str">
        <f t="shared" si="1"/>
        <v>Females #8</v>
      </c>
      <c r="C43" s="380">
        <f>SUM(HerdFlow!U8:AF8)</f>
        <v>80</v>
      </c>
      <c r="D43" s="380">
        <f>IF(C43=0,0,SUM(HerdFlow!U76:AF76)/Summary!C43)</f>
        <v>410</v>
      </c>
      <c r="E43" s="390">
        <f>IF(C43=0,0,SUM(HerdFlow!U42:AF42)/Summary!C43)</f>
        <v>951.2</v>
      </c>
      <c r="F43" s="391">
        <f>IF(C43=0,0,E43/Summary!D43)</f>
        <v>2.3200000000000003</v>
      </c>
      <c r="G43" s="110"/>
      <c r="H43" s="110"/>
      <c r="I43" s="110"/>
      <c r="J43" s="110"/>
      <c r="K43" s="110"/>
      <c r="L43" s="110"/>
      <c r="M43" s="110"/>
      <c r="N43" s="110"/>
      <c r="O43" s="110"/>
      <c r="P43" s="110"/>
    </row>
    <row r="44" spans="1:16" x14ac:dyDescent="0.35">
      <c r="A44" s="110"/>
      <c r="B44" s="148" t="str">
        <f t="shared" si="1"/>
        <v>Females #9</v>
      </c>
      <c r="C44" s="380">
        <f>SUM(HerdFlow!U9:AF9)</f>
        <v>84</v>
      </c>
      <c r="D44" s="380">
        <f>IF(C44=0,0,SUM(HerdFlow!U77:AF77)/Summary!C44)</f>
        <v>320</v>
      </c>
      <c r="E44" s="390">
        <f>IF(C44=0,0,SUM(HerdFlow!U43:AF43)/Summary!C44)</f>
        <v>745.6</v>
      </c>
      <c r="F44" s="391">
        <f>IF(C44=0,0,E44/Summary!D44)</f>
        <v>2.33</v>
      </c>
      <c r="G44" s="110"/>
      <c r="H44" s="110"/>
      <c r="I44" s="110"/>
      <c r="J44" s="110"/>
      <c r="K44" s="110"/>
      <c r="L44" s="110"/>
      <c r="M44" s="110"/>
      <c r="N44" s="110"/>
      <c r="O44" s="110"/>
      <c r="P44" s="110"/>
    </row>
    <row r="45" spans="1:16" x14ac:dyDescent="0.35">
      <c r="A45" s="234"/>
      <c r="B45" s="148" t="str">
        <f t="shared" si="1"/>
        <v>Females #0</v>
      </c>
      <c r="C45" s="380">
        <f>SUM(HerdFlow!U10:AF10)</f>
        <v>0</v>
      </c>
      <c r="D45" s="380">
        <f>IF(C45=0,0,SUM(HerdFlow!U78:AF78)/Summary!C45)</f>
        <v>0</v>
      </c>
      <c r="E45" s="390">
        <f>IF(C45=0,0,SUM(HerdFlow!U44:AF44)/Summary!C45)</f>
        <v>0</v>
      </c>
      <c r="F45" s="391">
        <f>IF(C45=0,0,E45/Summary!D45)</f>
        <v>0</v>
      </c>
      <c r="G45" s="110"/>
      <c r="H45" s="110"/>
      <c r="I45" s="110"/>
      <c r="J45" s="110"/>
      <c r="K45" s="110"/>
      <c r="L45" s="110"/>
      <c r="M45" s="110"/>
      <c r="N45" s="110"/>
      <c r="O45" s="110"/>
      <c r="P45" s="110"/>
    </row>
    <row r="46" spans="1:16" x14ac:dyDescent="0.35">
      <c r="A46" s="234"/>
      <c r="B46" s="392" t="str">
        <f t="shared" si="1"/>
        <v>Females #1</v>
      </c>
      <c r="C46" s="393">
        <f>SUM(HerdFlow!U11:AF11)</f>
        <v>0</v>
      </c>
      <c r="D46" s="393">
        <f>IF(C46=0,0,SUM(HerdFlow!U79:AF79)/Summary!C46)</f>
        <v>0</v>
      </c>
      <c r="E46" s="394">
        <f>IF(C46=0,0,SUM(HerdFlow!U45:AF45)/Summary!C46)</f>
        <v>0</v>
      </c>
      <c r="F46" s="395">
        <f>IF(C46=0,0,E46/Summary!D46)</f>
        <v>0</v>
      </c>
      <c r="G46" s="110"/>
      <c r="H46" s="110"/>
      <c r="I46" s="110"/>
      <c r="J46" s="110"/>
      <c r="K46" s="110"/>
      <c r="L46" s="110"/>
      <c r="M46" s="110"/>
      <c r="N46" s="110"/>
      <c r="O46" s="110"/>
      <c r="P46" s="110"/>
    </row>
    <row r="47" spans="1:16" x14ac:dyDescent="0.35">
      <c r="A47" s="234"/>
      <c r="B47" s="392" t="str">
        <f t="shared" si="1"/>
        <v>Mixed #1</v>
      </c>
      <c r="C47" s="393">
        <f>SUM(HerdFlow!U12:AF12)</f>
        <v>0</v>
      </c>
      <c r="D47" s="393">
        <f>IF(C47=0,0,SUM(HerdFlow!U80:AF80)/Summary!C47)</f>
        <v>0</v>
      </c>
      <c r="E47" s="394">
        <f>IF(C47=0,0,SUM(HerdFlow!U46:AF46)/Summary!C47)</f>
        <v>0</v>
      </c>
      <c r="F47" s="395">
        <f>IF(C47=0,0,E47/Summary!D47)</f>
        <v>0</v>
      </c>
      <c r="G47" s="110"/>
      <c r="H47" s="110"/>
      <c r="I47" s="110"/>
      <c r="J47" s="110"/>
      <c r="K47" s="110"/>
      <c r="L47" s="110"/>
      <c r="M47" s="110"/>
      <c r="N47" s="110"/>
      <c r="O47" s="110"/>
      <c r="P47" s="110"/>
    </row>
    <row r="48" spans="1:16" x14ac:dyDescent="0.35">
      <c r="A48" s="234"/>
      <c r="B48" s="386" t="str">
        <f t="shared" si="1"/>
        <v>Steers #8+</v>
      </c>
      <c r="C48" s="387">
        <f>SUM(HerdFlow!U13:AF13)</f>
        <v>0</v>
      </c>
      <c r="D48" s="387">
        <f>IF(C48=0,0,SUM(HerdFlow!U81:AF81)/Summary!C48)</f>
        <v>0</v>
      </c>
      <c r="E48" s="388">
        <f>IF(C48=0,0,SUM(HerdFlow!U47:AF47)/Summary!C48)</f>
        <v>0</v>
      </c>
      <c r="F48" s="389">
        <f>IF(C48=0,0,E48/Summary!D48)</f>
        <v>0</v>
      </c>
      <c r="G48" s="110"/>
      <c r="H48" s="110"/>
      <c r="I48" s="110"/>
      <c r="J48" s="110"/>
      <c r="K48" s="110"/>
      <c r="L48" s="110"/>
      <c r="M48" s="110"/>
      <c r="N48" s="110"/>
      <c r="O48" s="110"/>
      <c r="P48" s="110"/>
    </row>
    <row r="49" spans="1:16" x14ac:dyDescent="0.35">
      <c r="A49" s="234"/>
      <c r="B49" s="148" t="str">
        <f t="shared" si="1"/>
        <v>Steers #9</v>
      </c>
      <c r="C49" s="380">
        <f>SUM(HerdFlow!U14:AF14)</f>
        <v>276</v>
      </c>
      <c r="D49" s="380">
        <f>IF(C49=0,0,SUM(HerdFlow!U82:AF82)/Summary!C49)</f>
        <v>420</v>
      </c>
      <c r="E49" s="390">
        <f>IF(C49=0,0,SUM(HerdFlow!U48:AF48)/Summary!C49)</f>
        <v>1512</v>
      </c>
      <c r="F49" s="391">
        <f>IF(C49=0,0,E49/Summary!D49)</f>
        <v>3.6</v>
      </c>
      <c r="G49" s="110"/>
      <c r="H49" s="110"/>
      <c r="I49" s="110"/>
      <c r="J49" s="110"/>
      <c r="K49" s="110"/>
      <c r="L49" s="110"/>
      <c r="M49" s="110"/>
      <c r="N49" s="110"/>
      <c r="O49" s="110"/>
      <c r="P49" s="110"/>
    </row>
    <row r="50" spans="1:16" x14ac:dyDescent="0.35">
      <c r="A50" s="234"/>
      <c r="B50" s="148" t="str">
        <f t="shared" si="1"/>
        <v>Steers #0</v>
      </c>
      <c r="C50" s="380">
        <f>SUM(HerdFlow!U15:AF15)</f>
        <v>48</v>
      </c>
      <c r="D50" s="380">
        <f>IF(C50=0,0,SUM(HerdFlow!U83:AF83)/Summary!C50)</f>
        <v>375</v>
      </c>
      <c r="E50" s="390">
        <f>IF(C50=0,0,SUM(HerdFlow!U49:AF49)/Summary!C50)</f>
        <v>1387.5</v>
      </c>
      <c r="F50" s="391">
        <f>IF(C50=0,0,E50/Summary!D50)</f>
        <v>3.7</v>
      </c>
      <c r="G50" s="110"/>
      <c r="H50" s="110"/>
      <c r="I50" s="110"/>
      <c r="J50" s="110"/>
      <c r="K50" s="110"/>
      <c r="L50" s="110"/>
      <c r="M50" s="110"/>
      <c r="N50" s="110"/>
      <c r="O50" s="110"/>
      <c r="P50" s="110"/>
    </row>
    <row r="51" spans="1:16" x14ac:dyDescent="0.35">
      <c r="A51" s="234"/>
      <c r="B51" s="392" t="str">
        <f t="shared" si="1"/>
        <v>Steers #1</v>
      </c>
      <c r="C51" s="393">
        <f>SUM(HerdFlow!U16:AF16)</f>
        <v>0</v>
      </c>
      <c r="D51" s="393">
        <f>IF(C51=0,0,SUM(HerdFlow!U84:AF84)/Summary!C51)</f>
        <v>0</v>
      </c>
      <c r="E51" s="394">
        <f>IF(C51=0,0,SUM(HerdFlow!U50:AF50)/Summary!C51)</f>
        <v>0</v>
      </c>
      <c r="F51" s="395">
        <f>IF(C51=0,0,E51/Summary!D51)</f>
        <v>0</v>
      </c>
      <c r="G51" s="110"/>
      <c r="H51" s="110"/>
      <c r="I51" s="110"/>
      <c r="J51" s="110"/>
      <c r="K51" s="110"/>
      <c r="L51" s="110"/>
      <c r="M51" s="110"/>
      <c r="N51" s="110"/>
      <c r="O51" s="110"/>
      <c r="P51" s="110"/>
    </row>
    <row r="52" spans="1:16" x14ac:dyDescent="0.35">
      <c r="A52" s="234"/>
      <c r="B52" s="148" t="str">
        <f t="shared" si="1"/>
        <v>Bulls #8+</v>
      </c>
      <c r="C52" s="380">
        <f>SUM(HerdFlow!U17:AF17)</f>
        <v>0</v>
      </c>
      <c r="D52" s="380">
        <f>IF(C52=0,0,SUM(HerdFlow!U85:AF85)/Summary!C52)</f>
        <v>0</v>
      </c>
      <c r="E52" s="390">
        <f>IF(C52=0,0,SUM(HerdFlow!U51:AF51)/Summary!C52)</f>
        <v>0</v>
      </c>
      <c r="F52" s="391">
        <f>IF(C52=0,0,E52/Summary!D52)</f>
        <v>0</v>
      </c>
      <c r="G52" s="110"/>
      <c r="H52" s="110"/>
      <c r="I52" s="110"/>
      <c r="J52" s="110"/>
      <c r="K52" s="110"/>
      <c r="L52" s="110"/>
      <c r="M52" s="110"/>
      <c r="N52" s="110"/>
      <c r="O52" s="110"/>
      <c r="P52" s="110"/>
    </row>
    <row r="53" spans="1:16" x14ac:dyDescent="0.35">
      <c r="A53" s="234"/>
      <c r="B53" s="148" t="str">
        <f t="shared" si="1"/>
        <v>Bulls #9</v>
      </c>
      <c r="C53" s="380">
        <f>SUM(HerdFlow!U18:AF18)</f>
        <v>0</v>
      </c>
      <c r="D53" s="380">
        <f>IF(C53=0,0,SUM(HerdFlow!U86:AF86)/Summary!C53)</f>
        <v>0</v>
      </c>
      <c r="E53" s="390">
        <f>IF(C53=0,0,SUM(HerdFlow!U52:AF52)/Summary!C53)</f>
        <v>0</v>
      </c>
      <c r="F53" s="391">
        <f>IF(C53=0,0,E53/Summary!D53)</f>
        <v>0</v>
      </c>
      <c r="G53" s="110"/>
      <c r="H53" s="110"/>
      <c r="I53" s="110"/>
      <c r="J53" s="110"/>
      <c r="K53" s="110"/>
      <c r="L53" s="110"/>
      <c r="M53" s="110"/>
      <c r="N53" s="110"/>
      <c r="O53" s="110"/>
      <c r="P53" s="110"/>
    </row>
    <row r="54" spans="1:16" x14ac:dyDescent="0.35">
      <c r="A54" s="234"/>
      <c r="B54" s="148" t="str">
        <f t="shared" si="1"/>
        <v>Bulls #0</v>
      </c>
      <c r="C54" s="380">
        <f>SUM(HerdFlow!U19:AF19)</f>
        <v>0</v>
      </c>
      <c r="D54" s="380">
        <f>IF(C54=0,0,SUM(HerdFlow!U87:AF87)/Summary!C54)</f>
        <v>0</v>
      </c>
      <c r="E54" s="390">
        <f>IF(C54=0,0,SUM(HerdFlow!U53:AF53)/Summary!C54)</f>
        <v>0</v>
      </c>
      <c r="F54" s="391">
        <f>IF(C54=0,0,E54/Summary!D54)</f>
        <v>0</v>
      </c>
      <c r="G54" s="110"/>
      <c r="H54" s="110"/>
      <c r="I54" s="110"/>
      <c r="J54" s="110"/>
      <c r="K54" s="110"/>
      <c r="L54" s="110"/>
      <c r="M54" s="110"/>
      <c r="N54" s="110"/>
      <c r="O54" s="110"/>
      <c r="P54" s="110"/>
    </row>
    <row r="55" spans="1:16" x14ac:dyDescent="0.35">
      <c r="A55" s="234"/>
      <c r="B55" s="149" t="str">
        <f t="shared" si="1"/>
        <v>Bulls #1</v>
      </c>
      <c r="C55" s="381">
        <f>SUM(HerdFlow!U20:AF20)</f>
        <v>0</v>
      </c>
      <c r="D55" s="381">
        <f>IF(C55=0,0,SUM(HerdFlow!U88:AF88)/Summary!C55)</f>
        <v>0</v>
      </c>
      <c r="E55" s="396">
        <f>IF(C55=0,0,SUM(HerdFlow!U54:AF54)/Summary!C55)</f>
        <v>0</v>
      </c>
      <c r="F55" s="397">
        <f>IF(C55=0,0,E55/Summary!D55)</f>
        <v>0</v>
      </c>
      <c r="G55" s="110"/>
      <c r="H55" s="110"/>
      <c r="I55" s="110"/>
      <c r="J55" s="110"/>
      <c r="K55" s="110"/>
      <c r="L55" s="110"/>
      <c r="M55" s="110"/>
      <c r="N55" s="110"/>
      <c r="O55" s="110"/>
      <c r="P55" s="110"/>
    </row>
    <row r="56" spans="1:16" x14ac:dyDescent="0.35">
      <c r="A56" s="234"/>
      <c r="B56" s="416"/>
      <c r="C56" s="417">
        <f>SUM(C41:C55)</f>
        <v>631</v>
      </c>
      <c r="D56" s="417">
        <f>SUMPRODUCT(D41:D55,C41:C55)/C56</f>
        <v>412.97147385103011</v>
      </c>
      <c r="E56" s="418">
        <f>SUMPRODUCT(E41:E55,C41:C55)/C56</f>
        <v>1231.3098256735341</v>
      </c>
      <c r="F56" s="419">
        <f>E56/D56</f>
        <v>2.9815856630274191</v>
      </c>
      <c r="G56" s="110"/>
      <c r="H56" s="110"/>
      <c r="I56" s="110"/>
      <c r="J56" s="110"/>
      <c r="K56" s="110"/>
      <c r="L56" s="110"/>
      <c r="M56" s="110"/>
      <c r="N56" s="110"/>
      <c r="O56" s="110"/>
      <c r="P56" s="110"/>
    </row>
    <row r="57" spans="1:16" x14ac:dyDescent="0.35">
      <c r="A57" s="110"/>
      <c r="B57" s="110"/>
      <c r="C57" s="238">
        <f>IF(ABS(C56-HerdFlow!D77)&lt;0.1,0,1)</f>
        <v>0</v>
      </c>
      <c r="D57" s="238">
        <f>IF(ABS(D56-HerdFlow!E77)&lt;0.1,0,1)</f>
        <v>0</v>
      </c>
      <c r="E57" s="238">
        <f>IF(ABS(E56-HerdFlow!H77)&lt;0.1,0,1)</f>
        <v>0</v>
      </c>
      <c r="F57" s="238">
        <f>IF(ABS(F56-HerdFlow!G77)&lt;0.01,0,1)</f>
        <v>0</v>
      </c>
      <c r="G57" s="110"/>
      <c r="H57" s="110"/>
      <c r="I57" s="110"/>
      <c r="J57" s="110"/>
      <c r="K57" s="110"/>
      <c r="L57" s="110"/>
      <c r="M57" s="110"/>
      <c r="N57" s="110"/>
      <c r="O57" s="110"/>
      <c r="P57" s="110"/>
    </row>
    <row r="58" spans="1:16" x14ac:dyDescent="0.35">
      <c r="A58" s="110"/>
      <c r="B58" s="110"/>
      <c r="C58" s="110"/>
      <c r="D58" s="110"/>
      <c r="E58" s="110"/>
      <c r="F58" s="110"/>
      <c r="G58" s="110"/>
      <c r="H58" s="110"/>
      <c r="I58" s="110"/>
      <c r="J58" s="110"/>
      <c r="K58" s="110"/>
      <c r="L58" s="110"/>
      <c r="M58" s="110"/>
      <c r="N58" s="110"/>
      <c r="O58" s="110"/>
      <c r="P58" s="110"/>
    </row>
    <row r="59" spans="1:16" x14ac:dyDescent="0.35">
      <c r="A59" s="110"/>
      <c r="B59" s="112" t="s">
        <v>138</v>
      </c>
      <c r="C59" s="110"/>
      <c r="D59" s="111"/>
      <c r="E59" s="110"/>
      <c r="F59" s="110"/>
      <c r="G59" s="110"/>
      <c r="H59" s="110"/>
      <c r="I59" s="110"/>
      <c r="J59" s="110"/>
      <c r="K59" s="110"/>
      <c r="L59" s="110"/>
      <c r="M59" s="110"/>
      <c r="N59" s="110"/>
      <c r="O59" s="110"/>
      <c r="P59" s="110"/>
    </row>
    <row r="60" spans="1:16" x14ac:dyDescent="0.35">
      <c r="A60" s="110"/>
      <c r="B60" s="373" t="s">
        <v>3</v>
      </c>
      <c r="C60" s="373" t="s">
        <v>85</v>
      </c>
      <c r="D60" s="374" t="s">
        <v>137</v>
      </c>
      <c r="E60" s="373" t="s">
        <v>136</v>
      </c>
      <c r="F60" s="373" t="s">
        <v>180</v>
      </c>
      <c r="G60" s="110"/>
      <c r="H60" s="110"/>
      <c r="I60" s="110"/>
      <c r="J60" s="110"/>
      <c r="K60" s="110"/>
      <c r="L60" s="110"/>
      <c r="M60" s="110"/>
      <c r="N60" s="110"/>
      <c r="O60" s="110"/>
      <c r="P60" s="110"/>
    </row>
    <row r="61" spans="1:16" x14ac:dyDescent="0.35">
      <c r="A61" s="110"/>
      <c r="B61" s="152" t="str">
        <f>B41</f>
        <v>Speys &amp; Culls</v>
      </c>
      <c r="C61" s="377">
        <f>SUM(HerdFlow!U23:AF23)</f>
        <v>0</v>
      </c>
      <c r="D61" s="377">
        <f>IF(C61=0,0,SUM(HerdFlow!U91:AF91)/Summary!C61)</f>
        <v>0</v>
      </c>
      <c r="E61" s="384">
        <f>IF(C61=0,0,SUM(HerdFlow!U57:AF57)/Summary!C61)</f>
        <v>0</v>
      </c>
      <c r="F61" s="385">
        <f>IF(C61=0,0,E61/Summary!D61)</f>
        <v>0</v>
      </c>
      <c r="G61" s="110"/>
      <c r="H61" s="110"/>
      <c r="I61" s="110"/>
      <c r="J61" s="110"/>
      <c r="K61" s="110"/>
      <c r="L61" s="110"/>
      <c r="M61" s="110"/>
      <c r="N61" s="110"/>
      <c r="O61" s="110"/>
      <c r="P61" s="110"/>
    </row>
    <row r="62" spans="1:16" x14ac:dyDescent="0.35">
      <c r="A62" s="110"/>
      <c r="B62" s="386" t="str">
        <f t="shared" ref="B62:B75" si="2">B42</f>
        <v>Females #7+</v>
      </c>
      <c r="C62" s="387">
        <f>SUM(HerdFlow!U24:AF24)</f>
        <v>0</v>
      </c>
      <c r="D62" s="387">
        <f>IF(C62=0,0,SUM(HerdFlow!U92:AF92)/Summary!C62)</f>
        <v>0</v>
      </c>
      <c r="E62" s="388">
        <f>IF(C62=0,0,SUM(HerdFlow!U58:AF58)/Summary!C62)</f>
        <v>0</v>
      </c>
      <c r="F62" s="389">
        <f>IF(C62=0,0,E62/Summary!D62)</f>
        <v>0</v>
      </c>
      <c r="G62" s="110"/>
      <c r="H62" s="110"/>
      <c r="I62" s="110"/>
      <c r="J62" s="110"/>
      <c r="K62" s="110"/>
      <c r="L62" s="110"/>
      <c r="M62" s="110"/>
      <c r="N62" s="110"/>
      <c r="O62" s="110"/>
      <c r="P62" s="110"/>
    </row>
    <row r="63" spans="1:16" x14ac:dyDescent="0.35">
      <c r="A63" s="110"/>
      <c r="B63" s="148" t="str">
        <f t="shared" si="2"/>
        <v>Females #8</v>
      </c>
      <c r="C63" s="380">
        <f>SUM(HerdFlow!U25:AF25)</f>
        <v>0</v>
      </c>
      <c r="D63" s="380">
        <f>IF(C63=0,0,SUM(HerdFlow!U93:AF93)/Summary!C63)</f>
        <v>0</v>
      </c>
      <c r="E63" s="390">
        <f>IF(C63=0,0,SUM(HerdFlow!U59:AF59)/Summary!C63)</f>
        <v>0</v>
      </c>
      <c r="F63" s="391">
        <f>IF(C63=0,0,E63/Summary!D63)</f>
        <v>0</v>
      </c>
      <c r="G63" s="110"/>
      <c r="H63" s="110"/>
      <c r="I63" s="110"/>
      <c r="J63" s="110"/>
      <c r="K63" s="110"/>
      <c r="L63" s="110"/>
      <c r="M63" s="110"/>
      <c r="N63" s="110"/>
      <c r="O63" s="110"/>
      <c r="P63" s="110"/>
    </row>
    <row r="64" spans="1:16" x14ac:dyDescent="0.35">
      <c r="A64" s="110"/>
      <c r="B64" s="148" t="str">
        <f t="shared" si="2"/>
        <v>Females #9</v>
      </c>
      <c r="C64" s="380">
        <f>SUM(HerdFlow!U26:AF26)</f>
        <v>100</v>
      </c>
      <c r="D64" s="380">
        <f>IF(C64=0,0,SUM(HerdFlow!U94:AF94)/Summary!C64)</f>
        <v>350</v>
      </c>
      <c r="E64" s="390">
        <f>IF(C64=0,0,SUM(HerdFlow!U60:AF60)/Summary!C64)</f>
        <v>910</v>
      </c>
      <c r="F64" s="391">
        <f>IF(C64=0,0,E64/Summary!D64)</f>
        <v>2.6</v>
      </c>
      <c r="G64" s="110"/>
      <c r="H64" s="110"/>
      <c r="I64" s="110"/>
      <c r="J64" s="110"/>
      <c r="K64" s="110"/>
      <c r="L64" s="110"/>
      <c r="M64" s="110"/>
      <c r="N64" s="110"/>
      <c r="O64" s="110"/>
      <c r="P64" s="110"/>
    </row>
    <row r="65" spans="1:16" x14ac:dyDescent="0.35">
      <c r="A65" s="110"/>
      <c r="B65" s="148" t="str">
        <f t="shared" si="2"/>
        <v>Females #0</v>
      </c>
      <c r="C65" s="380">
        <f>SUM(HerdFlow!U27:AF27)</f>
        <v>0</v>
      </c>
      <c r="D65" s="380">
        <f>IF(C65=0,0,SUM(HerdFlow!U95:AF95)/Summary!C65)</f>
        <v>0</v>
      </c>
      <c r="E65" s="390">
        <f>IF(C65=0,0,SUM(HerdFlow!U61:AF61)/Summary!C65)</f>
        <v>0</v>
      </c>
      <c r="F65" s="391">
        <f>IF(C65=0,0,E65/Summary!D65)</f>
        <v>0</v>
      </c>
      <c r="G65" s="110"/>
      <c r="H65" s="110"/>
      <c r="I65" s="110"/>
      <c r="J65" s="110"/>
      <c r="K65" s="110"/>
      <c r="L65" s="110"/>
      <c r="M65" s="110"/>
      <c r="N65" s="110"/>
      <c r="O65" s="110"/>
      <c r="P65" s="110"/>
    </row>
    <row r="66" spans="1:16" x14ac:dyDescent="0.35">
      <c r="A66" s="110"/>
      <c r="B66" s="392" t="str">
        <f t="shared" si="2"/>
        <v>Females #1</v>
      </c>
      <c r="C66" s="393">
        <f>SUM(HerdFlow!U28:AF28)</f>
        <v>0</v>
      </c>
      <c r="D66" s="393">
        <f>IF(C66=0,0,SUM(HerdFlow!U96:AF96)/Summary!C66)</f>
        <v>0</v>
      </c>
      <c r="E66" s="394">
        <f>IF(C66=0,0,SUM(HerdFlow!U62:AF62)/Summary!C66)</f>
        <v>0</v>
      </c>
      <c r="F66" s="395">
        <f>IF(C66=0,0,E66/Summary!D66)</f>
        <v>0</v>
      </c>
      <c r="G66" s="110"/>
      <c r="H66" s="110"/>
      <c r="I66" s="110"/>
      <c r="J66" s="110"/>
      <c r="K66" s="110"/>
      <c r="L66" s="110"/>
      <c r="M66" s="110"/>
      <c r="N66" s="110"/>
      <c r="O66" s="110"/>
      <c r="P66" s="110"/>
    </row>
    <row r="67" spans="1:16" x14ac:dyDescent="0.35">
      <c r="A67" s="110"/>
      <c r="B67" s="392" t="str">
        <f t="shared" si="2"/>
        <v>Mixed #1</v>
      </c>
      <c r="C67" s="393">
        <f>SUM(HerdFlow!U29:AF29)</f>
        <v>0</v>
      </c>
      <c r="D67" s="393">
        <f>IF(C67=0,0,SUM(HerdFlow!U97:AF97)/Summary!C67)</f>
        <v>0</v>
      </c>
      <c r="E67" s="394">
        <f>IF(C67=0,0,SUM(HerdFlow!U63:AF63)/Summary!C67)</f>
        <v>0</v>
      </c>
      <c r="F67" s="395">
        <f>IF(C67=0,0,E67/Summary!D67)</f>
        <v>0</v>
      </c>
      <c r="G67" s="110"/>
      <c r="H67" s="110"/>
      <c r="I67" s="110"/>
      <c r="J67" s="110"/>
      <c r="K67" s="110"/>
      <c r="L67" s="110"/>
      <c r="M67" s="110"/>
      <c r="N67" s="110"/>
      <c r="O67" s="110"/>
      <c r="P67" s="110"/>
    </row>
    <row r="68" spans="1:16" x14ac:dyDescent="0.35">
      <c r="A68" s="110"/>
      <c r="B68" s="386" t="str">
        <f t="shared" si="2"/>
        <v>Steers #8+</v>
      </c>
      <c r="C68" s="387">
        <f>SUM(HerdFlow!U30:AF30)</f>
        <v>0</v>
      </c>
      <c r="D68" s="387">
        <f>IF(C68=0,0,SUM(HerdFlow!U98:AF98)/Summary!C68)</f>
        <v>0</v>
      </c>
      <c r="E68" s="388">
        <f>IF(C68=0,0,SUM(HerdFlow!U64:AF64)/Summary!C68)</f>
        <v>0</v>
      </c>
      <c r="F68" s="389">
        <f>IF(C68=0,0,E68/Summary!D68)</f>
        <v>0</v>
      </c>
      <c r="G68" s="110"/>
      <c r="H68" s="110"/>
      <c r="I68" s="110"/>
      <c r="J68" s="110"/>
      <c r="K68" s="110"/>
      <c r="L68" s="110"/>
      <c r="M68" s="110"/>
      <c r="N68" s="110"/>
      <c r="O68" s="110"/>
      <c r="P68" s="110"/>
    </row>
    <row r="69" spans="1:16" x14ac:dyDescent="0.35">
      <c r="A69" s="110"/>
      <c r="B69" s="148" t="str">
        <f t="shared" si="2"/>
        <v>Steers #9</v>
      </c>
      <c r="C69" s="380">
        <f>SUM(HerdFlow!U31:AF31)</f>
        <v>0</v>
      </c>
      <c r="D69" s="380">
        <f>IF(C69=0,0,SUM(HerdFlow!U99:AF99)/Summary!C69)</f>
        <v>0</v>
      </c>
      <c r="E69" s="390">
        <f>IF(C69=0,0,SUM(HerdFlow!U65:AF65)/Summary!C69)</f>
        <v>0</v>
      </c>
      <c r="F69" s="391">
        <f>IF(C69=0,0,E69/Summary!D69)</f>
        <v>0</v>
      </c>
      <c r="G69" s="110"/>
      <c r="H69" s="110"/>
      <c r="I69" s="110"/>
      <c r="J69" s="110"/>
      <c r="K69" s="110"/>
      <c r="L69" s="110"/>
      <c r="M69" s="110"/>
      <c r="N69" s="110"/>
      <c r="O69" s="110"/>
      <c r="P69" s="110"/>
    </row>
    <row r="70" spans="1:16" x14ac:dyDescent="0.35">
      <c r="A70" s="110"/>
      <c r="B70" s="148" t="str">
        <f t="shared" si="2"/>
        <v>Steers #0</v>
      </c>
      <c r="C70" s="380">
        <f>SUM(HerdFlow!U32:AF32)</f>
        <v>0</v>
      </c>
      <c r="D70" s="380">
        <f>IF(C70=0,0,SUM(HerdFlow!U100:AF100)/Summary!C70)</f>
        <v>0</v>
      </c>
      <c r="E70" s="390">
        <f>IF(C70=0,0,SUM(HerdFlow!U66:AF66)/Summary!C70)</f>
        <v>0</v>
      </c>
      <c r="F70" s="391">
        <f>IF(C70=0,0,E70/Summary!D70)</f>
        <v>0</v>
      </c>
      <c r="G70" s="110"/>
      <c r="H70" s="110"/>
      <c r="I70" s="110"/>
      <c r="J70" s="110"/>
      <c r="K70" s="110"/>
      <c r="L70" s="110"/>
      <c r="M70" s="110"/>
      <c r="N70" s="110"/>
      <c r="O70" s="110"/>
      <c r="P70" s="110"/>
    </row>
    <row r="71" spans="1:16" x14ac:dyDescent="0.35">
      <c r="A71" s="110"/>
      <c r="B71" s="392" t="str">
        <f t="shared" si="2"/>
        <v>Steers #1</v>
      </c>
      <c r="C71" s="393">
        <f>SUM(HerdFlow!U33:AF33)</f>
        <v>0</v>
      </c>
      <c r="D71" s="393">
        <f>IF(C71=0,0,SUM(HerdFlow!U101:AF101)/Summary!C71)</f>
        <v>0</v>
      </c>
      <c r="E71" s="394">
        <f>IF(C71=0,0,SUM(HerdFlow!U67:AF67)/Summary!C71)</f>
        <v>0</v>
      </c>
      <c r="F71" s="395">
        <f>IF(C71=0,0,E71/Summary!D71)</f>
        <v>0</v>
      </c>
      <c r="G71" s="110"/>
      <c r="H71" s="110"/>
      <c r="I71" s="110"/>
      <c r="J71" s="110"/>
      <c r="K71" s="110"/>
      <c r="L71" s="110"/>
      <c r="M71" s="110"/>
      <c r="N71" s="110"/>
      <c r="O71" s="110"/>
      <c r="P71" s="110"/>
    </row>
    <row r="72" spans="1:16" x14ac:dyDescent="0.35">
      <c r="A72" s="110"/>
      <c r="B72" s="148" t="str">
        <f t="shared" si="2"/>
        <v>Bulls #8+</v>
      </c>
      <c r="C72" s="380">
        <f>SUM(HerdFlow!U34:AF34)</f>
        <v>0</v>
      </c>
      <c r="D72" s="380">
        <f>IF(C72=0,0,SUM(HerdFlow!U102:AF102)/Summary!C72)</f>
        <v>0</v>
      </c>
      <c r="E72" s="390">
        <f>IF(C72=0,0,SUM(HerdFlow!U68:AF68)/Summary!C72)</f>
        <v>0</v>
      </c>
      <c r="F72" s="391">
        <f>IF(C72=0,0,E72/Summary!D72)</f>
        <v>0</v>
      </c>
      <c r="G72" s="110"/>
      <c r="H72" s="110"/>
      <c r="I72" s="110"/>
      <c r="J72" s="110"/>
      <c r="K72" s="110"/>
      <c r="L72" s="110"/>
      <c r="M72" s="110"/>
      <c r="N72" s="110"/>
      <c r="O72" s="110"/>
      <c r="P72" s="110"/>
    </row>
    <row r="73" spans="1:16" x14ac:dyDescent="0.35">
      <c r="A73" s="110"/>
      <c r="B73" s="148" t="str">
        <f t="shared" si="2"/>
        <v>Bulls #9</v>
      </c>
      <c r="C73" s="380">
        <f>SUM(HerdFlow!U35:AF35)</f>
        <v>5</v>
      </c>
      <c r="D73" s="380">
        <f>IF(C73=0,0,SUM(HerdFlow!U103:AF103)/Summary!C73)</f>
        <v>650</v>
      </c>
      <c r="E73" s="390">
        <f>IF(C73=0,0,SUM(HerdFlow!U69:AF69)/Summary!C73)</f>
        <v>5000</v>
      </c>
      <c r="F73" s="391">
        <f>IF(C73=0,0,E73/Summary!D73)</f>
        <v>7.6923076923076925</v>
      </c>
      <c r="G73" s="110"/>
      <c r="H73" s="110"/>
      <c r="I73" s="110"/>
      <c r="J73" s="110"/>
      <c r="K73" s="110"/>
      <c r="L73" s="110"/>
      <c r="M73" s="110"/>
      <c r="N73" s="110"/>
      <c r="O73" s="110"/>
      <c r="P73" s="110"/>
    </row>
    <row r="74" spans="1:16" x14ac:dyDescent="0.35">
      <c r="A74" s="110"/>
      <c r="B74" s="148" t="str">
        <f t="shared" si="2"/>
        <v>Bulls #0</v>
      </c>
      <c r="C74" s="380">
        <f>SUM(HerdFlow!U36:AF36)</f>
        <v>0</v>
      </c>
      <c r="D74" s="380">
        <f>IF(C74=0,0,SUM(HerdFlow!U104:AF104)/Summary!C74)</f>
        <v>0</v>
      </c>
      <c r="E74" s="390">
        <f>IF(C74=0,0,SUM(HerdFlow!U70:AF70)/Summary!C74)</f>
        <v>0</v>
      </c>
      <c r="F74" s="391">
        <f>IF(C74=0,0,E74/Summary!D74)</f>
        <v>0</v>
      </c>
      <c r="G74" s="110"/>
      <c r="H74" s="110"/>
      <c r="I74" s="110"/>
      <c r="J74" s="110"/>
      <c r="K74" s="110"/>
      <c r="L74" s="110"/>
      <c r="M74" s="110"/>
      <c r="N74" s="110"/>
      <c r="O74" s="110"/>
      <c r="P74" s="110"/>
    </row>
    <row r="75" spans="1:16" x14ac:dyDescent="0.35">
      <c r="A75" s="110"/>
      <c r="B75" s="149" t="str">
        <f t="shared" si="2"/>
        <v>Bulls #1</v>
      </c>
      <c r="C75" s="381">
        <f>SUM(HerdFlow!U37:AF37)</f>
        <v>0</v>
      </c>
      <c r="D75" s="381">
        <f>IF(C75=0,0,SUM(HerdFlow!U105:AF105)/Summary!C75)</f>
        <v>0</v>
      </c>
      <c r="E75" s="396">
        <f>IF(C75=0,0,SUM(HerdFlow!U71:AF71)/Summary!C75)</f>
        <v>0</v>
      </c>
      <c r="F75" s="397">
        <f>IF(C75=0,0,E75/Summary!D75)</f>
        <v>0</v>
      </c>
      <c r="G75" s="110"/>
      <c r="H75" s="110"/>
      <c r="I75" s="110"/>
      <c r="J75" s="110"/>
      <c r="K75" s="110"/>
      <c r="L75" s="110"/>
      <c r="M75" s="110"/>
      <c r="N75" s="110"/>
      <c r="O75" s="110"/>
      <c r="P75" s="110"/>
    </row>
    <row r="76" spans="1:16" x14ac:dyDescent="0.35">
      <c r="A76" s="110"/>
      <c r="B76" s="416"/>
      <c r="C76" s="420">
        <f>SUM(C61:C75)</f>
        <v>105</v>
      </c>
      <c r="D76" s="420">
        <f>SUMPRODUCT(D61:D75,C61:C75)/C76</f>
        <v>364.28571428571428</v>
      </c>
      <c r="E76" s="421">
        <f>SUMPRODUCT(E61:E75,C61:C75)/C76</f>
        <v>1104.7619047619048</v>
      </c>
      <c r="F76" s="422">
        <f>E76/D76</f>
        <v>3.0326797385620918</v>
      </c>
      <c r="G76" s="110"/>
      <c r="H76" s="110"/>
      <c r="I76" s="110"/>
      <c r="J76" s="110"/>
      <c r="K76" s="110"/>
      <c r="L76" s="110"/>
      <c r="M76" s="110"/>
      <c r="N76" s="110"/>
      <c r="O76" s="110"/>
      <c r="P76" s="110"/>
    </row>
    <row r="77" spans="1:16" x14ac:dyDescent="0.35">
      <c r="A77" s="110"/>
      <c r="B77" s="110"/>
      <c r="C77" s="238">
        <f>IF(ABS(C76-HerdFlow!D131)&lt;0.1,0,1)</f>
        <v>0</v>
      </c>
      <c r="D77" s="238">
        <f>IF(ABS(D76-HerdFlow!E131)&lt;0.1,0,1)</f>
        <v>0</v>
      </c>
      <c r="E77" s="238">
        <f>IF(E76=HerdFlow!H131,0,1)</f>
        <v>0</v>
      </c>
      <c r="F77" s="238">
        <f>IF(ABS(F76-HerdFlow!G131)&lt;0.01,0,1)</f>
        <v>0</v>
      </c>
      <c r="G77" s="110"/>
      <c r="H77" s="110"/>
      <c r="I77" s="110"/>
      <c r="J77" s="110"/>
      <c r="K77" s="110"/>
      <c r="L77" s="110"/>
      <c r="M77" s="110"/>
      <c r="N77" s="110"/>
      <c r="O77" s="110"/>
      <c r="P77" s="110"/>
    </row>
    <row r="78" spans="1:16" x14ac:dyDescent="0.35">
      <c r="A78" s="110"/>
      <c r="B78" s="110"/>
      <c r="C78" s="110"/>
      <c r="D78" s="110"/>
      <c r="E78" s="110"/>
      <c r="F78" s="110"/>
      <c r="G78" s="110"/>
      <c r="H78" s="110"/>
      <c r="I78" s="110"/>
      <c r="J78" s="110"/>
      <c r="K78" s="110"/>
      <c r="L78" s="110"/>
      <c r="M78" s="110"/>
      <c r="N78" s="110"/>
      <c r="O78" s="110"/>
      <c r="P78" s="110"/>
    </row>
    <row r="79" spans="1:16" x14ac:dyDescent="0.35">
      <c r="A79" s="110"/>
      <c r="B79" s="113" t="s">
        <v>205</v>
      </c>
      <c r="C79" s="181"/>
      <c r="D79" s="110"/>
      <c r="E79" s="110"/>
      <c r="F79" s="110"/>
      <c r="G79" s="110"/>
      <c r="H79" s="110"/>
      <c r="I79" s="110"/>
      <c r="J79" s="110"/>
      <c r="K79" s="110"/>
      <c r="L79" s="110"/>
      <c r="M79" s="110"/>
      <c r="N79" s="110"/>
      <c r="O79" s="110"/>
      <c r="P79" s="110"/>
    </row>
    <row r="80" spans="1:16" x14ac:dyDescent="0.35">
      <c r="A80" s="110"/>
      <c r="B80" s="298"/>
      <c r="C80" s="292" t="s">
        <v>173</v>
      </c>
      <c r="D80" s="309"/>
      <c r="E80" s="325"/>
      <c r="F80" s="292" t="s">
        <v>176</v>
      </c>
      <c r="G80" s="309"/>
      <c r="H80" s="325"/>
      <c r="I80" s="110"/>
      <c r="J80" s="110"/>
      <c r="K80" s="110"/>
      <c r="L80" s="110"/>
      <c r="M80" s="110"/>
      <c r="N80" s="110"/>
      <c r="O80" s="110"/>
      <c r="P80" s="110"/>
    </row>
    <row r="81" spans="1:16" x14ac:dyDescent="0.35">
      <c r="A81" s="110"/>
      <c r="B81" s="375" t="s">
        <v>3</v>
      </c>
      <c r="C81" s="376" t="s">
        <v>174</v>
      </c>
      <c r="D81" s="376" t="s">
        <v>175</v>
      </c>
      <c r="E81" s="376" t="s">
        <v>111</v>
      </c>
      <c r="F81" s="376" t="s">
        <v>174</v>
      </c>
      <c r="G81" s="376" t="s">
        <v>175</v>
      </c>
      <c r="H81" s="376" t="s">
        <v>111</v>
      </c>
      <c r="I81" s="110"/>
      <c r="J81" s="110"/>
      <c r="K81" s="110"/>
      <c r="L81" s="110"/>
      <c r="M81" s="110"/>
      <c r="N81" s="110"/>
      <c r="O81" s="110"/>
      <c r="P81" s="110"/>
    </row>
    <row r="82" spans="1:16" x14ac:dyDescent="0.35">
      <c r="A82" s="110"/>
      <c r="B82" s="152" t="str">
        <f t="shared" ref="B82:B87" si="3">B5</f>
        <v>Speys &amp; Culls</v>
      </c>
      <c r="C82" s="398">
        <f ca="1">C83</f>
        <v>464.3287821476809</v>
      </c>
      <c r="D82" s="399">
        <f>D83</f>
        <v>2.0472023583378909</v>
      </c>
      <c r="E82" s="400">
        <f ca="1">C82*D82</f>
        <v>950.57497785689304</v>
      </c>
      <c r="F82" s="398">
        <f ca="1">F83</f>
        <v>464.3287821476809</v>
      </c>
      <c r="G82" s="399">
        <f>G83</f>
        <v>2.0472023583378909</v>
      </c>
      <c r="H82" s="400">
        <f t="shared" ref="H82:H96" ca="1" si="4">F82*G82</f>
        <v>950.57497785689304</v>
      </c>
      <c r="I82" s="110"/>
      <c r="J82" s="110"/>
      <c r="K82" s="110"/>
      <c r="L82" s="110"/>
      <c r="M82" s="110"/>
      <c r="N82" s="110"/>
      <c r="O82" s="110"/>
      <c r="P82" s="110"/>
    </row>
    <row r="83" spans="1:16" x14ac:dyDescent="0.35">
      <c r="A83" s="110"/>
      <c r="B83" s="401" t="str">
        <f t="shared" si="3"/>
        <v>Females #7+</v>
      </c>
      <c r="C83" s="402">
        <f ca="1">'General Info'!L46</f>
        <v>464.3287821476809</v>
      </c>
      <c r="D83" s="403">
        <f>IFERROR(VLOOKUP(VLOOKUP(C6,'Start here!'!$E$78:$F$86,2,FALSE),'General Info'!$J$23:$M$26,4,FALSE),0)</f>
        <v>2.0472023583378909</v>
      </c>
      <c r="E83" s="404">
        <f t="shared" ref="E83:E96" ca="1" si="5">C83*D83</f>
        <v>950.57497785689304</v>
      </c>
      <c r="F83" s="402">
        <f ca="1">'General Info'!M46</f>
        <v>464.3287821476809</v>
      </c>
      <c r="G83" s="403">
        <f>IFERROR(VLOOKUP(VLOOKUP(M6,'Start here!'!$E$78:$F$86,2,FALSE),'General Info'!$J$23:$K$26,2,FALSE),0)</f>
        <v>2.0472023583378909</v>
      </c>
      <c r="H83" s="404">
        <f t="shared" ca="1" si="4"/>
        <v>950.57497785689304</v>
      </c>
      <c r="I83" s="110"/>
      <c r="J83" s="110"/>
      <c r="K83" s="110"/>
      <c r="L83" s="110"/>
      <c r="M83" s="110"/>
      <c r="N83" s="110"/>
      <c r="O83" s="110"/>
      <c r="P83" s="110"/>
    </row>
    <row r="84" spans="1:16" x14ac:dyDescent="0.35">
      <c r="A84" s="110"/>
      <c r="B84" s="148" t="str">
        <f t="shared" si="3"/>
        <v>Females #8</v>
      </c>
      <c r="C84" s="405">
        <f ca="1">'General Info'!L47</f>
        <v>402.5155323554809</v>
      </c>
      <c r="D84" s="406">
        <f>IFERROR(VLOOKUP(VLOOKUP(C7,'Start here!'!$E$78:$F$86,2,FALSE),'General Info'!$J$23:$M$26,4,FALSE),0)</f>
        <v>2.5427739766356749</v>
      </c>
      <c r="E84" s="407">
        <f t="shared" ca="1" si="5"/>
        <v>1023.5060208651719</v>
      </c>
      <c r="F84" s="405">
        <f ca="1">'General Info'!M47</f>
        <v>464.3287821476809</v>
      </c>
      <c r="G84" s="406">
        <f>IFERROR(VLOOKUP(VLOOKUP(M7,'Start here!'!$E$78:$F$86,2,FALSE),'General Info'!$J$23:$K$26,2,FALSE),0)</f>
        <v>2.0472023583378909</v>
      </c>
      <c r="H84" s="407">
        <f t="shared" ca="1" si="4"/>
        <v>950.57497785689304</v>
      </c>
      <c r="I84" s="110"/>
      <c r="J84" s="110"/>
      <c r="K84" s="110"/>
      <c r="L84" s="110"/>
      <c r="M84" s="110"/>
      <c r="N84" s="110"/>
      <c r="O84" s="110"/>
      <c r="P84" s="110"/>
    </row>
    <row r="85" spans="1:16" x14ac:dyDescent="0.35">
      <c r="A85" s="110"/>
      <c r="B85" s="148" t="str">
        <f t="shared" si="3"/>
        <v>Females #9</v>
      </c>
      <c r="C85" s="405">
        <f ca="1">'General Info'!L48</f>
        <v>302.91143836221266</v>
      </c>
      <c r="D85" s="406">
        <f>IFERROR(VLOOKUP(VLOOKUP(C8,'Start here!'!$E$78:$F$86,2,FALSE),'General Info'!$J$23:$M$26,4,FALSE),0)</f>
        <v>2.5427739766356749</v>
      </c>
      <c r="E85" s="407">
        <f t="shared" ca="1" si="5"/>
        <v>770.23532269271561</v>
      </c>
      <c r="F85" s="405">
        <f ca="1">'General Info'!M48</f>
        <v>402.5155323554809</v>
      </c>
      <c r="G85" s="406">
        <f>IFERROR(VLOOKUP(VLOOKUP(M8,'Start here!'!$E$78:$F$86,2,FALSE),'General Info'!$J$23:$K$26,2,FALSE),0)</f>
        <v>2.5427739766356749</v>
      </c>
      <c r="H85" s="407">
        <f t="shared" ca="1" si="4"/>
        <v>1023.5060208651719</v>
      </c>
      <c r="I85" s="110"/>
      <c r="J85" s="110"/>
      <c r="K85" s="110"/>
      <c r="L85" s="110"/>
      <c r="M85" s="110"/>
      <c r="N85" s="110"/>
      <c r="O85" s="110"/>
      <c r="P85" s="110"/>
    </row>
    <row r="86" spans="1:16" x14ac:dyDescent="0.35">
      <c r="A86" s="110"/>
      <c r="B86" s="148" t="str">
        <f t="shared" si="3"/>
        <v>Females #0</v>
      </c>
      <c r="C86" s="405">
        <f ca="1">'General Info'!L49</f>
        <v>179.42279878454852</v>
      </c>
      <c r="D86" s="406">
        <f>IFERROR(VLOOKUP(VLOOKUP(C9,'Start here!'!$E$78:$F$86,2,FALSE),'General Info'!$J$23:$M$26,4,FALSE),0)</f>
        <v>2.5427739766356749</v>
      </c>
      <c r="E86" s="407">
        <f t="shared" ca="1" si="5"/>
        <v>456.23162356448898</v>
      </c>
      <c r="F86" s="405">
        <f ca="1">'General Info'!M49</f>
        <v>302.91143836221266</v>
      </c>
      <c r="G86" s="406">
        <f>IFERROR(VLOOKUP(VLOOKUP(M9,'Start here!'!$E$78:$F$86,2,FALSE),'General Info'!$J$23:$K$26,2,FALSE),0)</f>
        <v>2.5427739766356749</v>
      </c>
      <c r="H86" s="407">
        <f t="shared" ca="1" si="4"/>
        <v>770.23532269271561</v>
      </c>
      <c r="I86" s="110"/>
      <c r="J86" s="110"/>
      <c r="K86" s="110"/>
      <c r="L86" s="110"/>
      <c r="M86" s="110"/>
      <c r="N86" s="110"/>
      <c r="O86" s="110"/>
      <c r="P86" s="110"/>
    </row>
    <row r="87" spans="1:16" x14ac:dyDescent="0.35">
      <c r="A87" s="110"/>
      <c r="B87" s="392" t="str">
        <f t="shared" si="3"/>
        <v>Females #1</v>
      </c>
      <c r="C87" s="408">
        <f>'General Info'!L50</f>
        <v>0</v>
      </c>
      <c r="D87" s="409">
        <f>IFERROR(VLOOKUP(VLOOKUP(C10,'Start here!'!$E$78:$F$86,2,FALSE),'General Info'!$J$23:$M$26,4,FALSE),0)</f>
        <v>0</v>
      </c>
      <c r="E87" s="410">
        <f t="shared" si="5"/>
        <v>0</v>
      </c>
      <c r="F87" s="408">
        <f ca="1">'General Info'!M50</f>
        <v>179.42279878454852</v>
      </c>
      <c r="G87" s="409">
        <f>IFERROR(VLOOKUP(VLOOKUP(M10,'Start here!'!$E$78:$F$86,2,FALSE),'General Info'!$J$23:$K$26,2,FALSE),0)</f>
        <v>2.5427739766356749</v>
      </c>
      <c r="H87" s="410">
        <f t="shared" ca="1" si="4"/>
        <v>456.23162356448898</v>
      </c>
      <c r="I87" s="110"/>
      <c r="J87" s="110"/>
      <c r="K87" s="110"/>
      <c r="L87" s="110"/>
      <c r="M87" s="110"/>
      <c r="N87" s="110"/>
      <c r="O87" s="110"/>
      <c r="P87" s="110"/>
    </row>
    <row r="88" spans="1:16" hidden="1" x14ac:dyDescent="0.35">
      <c r="A88" s="110"/>
      <c r="B88" s="148"/>
      <c r="C88" s="405"/>
      <c r="D88" s="406"/>
      <c r="E88" s="407"/>
      <c r="F88" s="405"/>
      <c r="G88" s="406"/>
      <c r="H88" s="407"/>
      <c r="I88" s="110"/>
      <c r="J88" s="110"/>
      <c r="K88" s="110"/>
      <c r="L88" s="110"/>
      <c r="M88" s="110"/>
      <c r="N88" s="110"/>
      <c r="O88" s="110"/>
      <c r="P88" s="110"/>
    </row>
    <row r="89" spans="1:16" x14ac:dyDescent="0.35">
      <c r="A89" s="110"/>
      <c r="B89" s="148" t="str">
        <f t="shared" ref="B89:B96" si="6">B12</f>
        <v>Steers #8+</v>
      </c>
      <c r="C89" s="405">
        <f ca="1">'General Info'!L51</f>
        <v>467.92588410154082</v>
      </c>
      <c r="D89" s="406">
        <f>IFERROR(VLOOKUP(VLOOKUP(C12,'Start here!'!$E$78:$F$86,2,FALSE),'General Info'!$J$23:$M$26,4,FALSE),0)</f>
        <v>2.6292142564295746</v>
      </c>
      <c r="E89" s="407">
        <f t="shared" ca="1" si="5"/>
        <v>1230.277405432184</v>
      </c>
      <c r="F89" s="405">
        <f ca="1">'General Info'!M51</f>
        <v>467.92588410154082</v>
      </c>
      <c r="G89" s="406">
        <f>IFERROR(VLOOKUP(VLOOKUP(M12,'Start here!'!$E$78:$F$86,2,FALSE),'General Info'!$J$23:$K$26,2,FALSE),0)</f>
        <v>2.6292142564295746</v>
      </c>
      <c r="H89" s="407">
        <f t="shared" ca="1" si="4"/>
        <v>1230.277405432184</v>
      </c>
      <c r="I89" s="110"/>
      <c r="J89" s="110"/>
      <c r="K89" s="110"/>
      <c r="L89" s="110"/>
      <c r="M89" s="110"/>
      <c r="N89" s="110"/>
      <c r="O89" s="110"/>
      <c r="P89" s="110"/>
    </row>
    <row r="90" spans="1:16" x14ac:dyDescent="0.35">
      <c r="A90" s="110"/>
      <c r="B90" s="148" t="str">
        <f t="shared" si="6"/>
        <v>Steers #9</v>
      </c>
      <c r="C90" s="405">
        <f ca="1">'General Info'!L52</f>
        <v>338.79516094549348</v>
      </c>
      <c r="D90" s="406">
        <f>IFERROR(VLOOKUP(VLOOKUP(C13,'Start here!'!$E$78:$F$86,2,FALSE),'General Info'!$J$23:$M$26,4,FALSE),0)</f>
        <v>2.749234601340163</v>
      </c>
      <c r="E90" s="407">
        <f t="shared" ca="1" si="5"/>
        <v>931.42737923796005</v>
      </c>
      <c r="F90" s="405">
        <f ca="1">'General Info'!M52</f>
        <v>467.92588410154082</v>
      </c>
      <c r="G90" s="406">
        <f>IFERROR(VLOOKUP(VLOOKUP(M13,'Start here!'!$E$78:$F$86,2,FALSE),'General Info'!$J$23:$K$26,2,FALSE),0)</f>
        <v>2.6292142564295746</v>
      </c>
      <c r="H90" s="407">
        <f t="shared" ca="1" si="4"/>
        <v>1230.277405432184</v>
      </c>
      <c r="I90" s="110"/>
      <c r="J90" s="110"/>
      <c r="K90" s="110"/>
      <c r="L90" s="110"/>
      <c r="M90" s="110"/>
      <c r="N90" s="110"/>
      <c r="O90" s="110"/>
      <c r="P90" s="110"/>
    </row>
    <row r="91" spans="1:16" x14ac:dyDescent="0.35">
      <c r="A91" s="110"/>
      <c r="B91" s="148" t="str">
        <f t="shared" si="6"/>
        <v>Steers #0</v>
      </c>
      <c r="C91" s="405">
        <f ca="1">'General Info'!L53</f>
        <v>188.63903642287846</v>
      </c>
      <c r="D91" s="406">
        <f>IFERROR(VLOOKUP(VLOOKUP(C14,'Start here!'!$E$78:$F$86,2,FALSE),'General Info'!$J$23:$M$26,4,FALSE),0)</f>
        <v>2.749234601340163</v>
      </c>
      <c r="E91" s="407">
        <f t="shared" ca="1" si="5"/>
        <v>518.61296609724479</v>
      </c>
      <c r="F91" s="405">
        <f ca="1">'General Info'!M53</f>
        <v>338.79516094549348</v>
      </c>
      <c r="G91" s="406">
        <f>IFERROR(VLOOKUP(VLOOKUP(M14,'Start here!'!$E$78:$F$86,2,FALSE),'General Info'!$J$23:$K$26,2,FALSE),0)</f>
        <v>2.749234601340163</v>
      </c>
      <c r="H91" s="407">
        <f t="shared" ca="1" si="4"/>
        <v>931.42737923796005</v>
      </c>
      <c r="I91" s="110"/>
      <c r="J91" s="110"/>
      <c r="K91" s="110"/>
      <c r="L91" s="110"/>
      <c r="M91" s="110"/>
      <c r="N91" s="110"/>
      <c r="O91" s="110"/>
      <c r="P91" s="110"/>
    </row>
    <row r="92" spans="1:16" x14ac:dyDescent="0.35">
      <c r="A92" s="110"/>
      <c r="B92" s="148" t="str">
        <f t="shared" si="6"/>
        <v>Steers #1</v>
      </c>
      <c r="C92" s="405">
        <f>'General Info'!L54</f>
        <v>0</v>
      </c>
      <c r="D92" s="406">
        <f>IFERROR(VLOOKUP(VLOOKUP(C15,'Start here!'!#REF!,2,FALSE),'General Info'!$J$23:$M$26,4,FALSE),0)</f>
        <v>0</v>
      </c>
      <c r="E92" s="407">
        <f t="shared" si="5"/>
        <v>0</v>
      </c>
      <c r="F92" s="405">
        <f ca="1">'General Info'!M54</f>
        <v>188.63903642287846</v>
      </c>
      <c r="G92" s="406">
        <f>IFERROR(VLOOKUP(VLOOKUP(M15,'Start here!'!$E$78:$F$86,2,FALSE),'General Info'!$J$23:$K$26,2,FALSE),0)</f>
        <v>2.749234601340163</v>
      </c>
      <c r="H92" s="407">
        <f t="shared" ca="1" si="4"/>
        <v>518.61296609724479</v>
      </c>
      <c r="I92" s="110"/>
      <c r="J92" s="110"/>
      <c r="K92" s="110"/>
      <c r="L92" s="110"/>
      <c r="M92" s="110"/>
      <c r="N92" s="110"/>
      <c r="O92" s="110"/>
      <c r="P92" s="110"/>
    </row>
    <row r="93" spans="1:16" x14ac:dyDescent="0.35">
      <c r="A93" s="110"/>
      <c r="B93" s="386" t="str">
        <f t="shared" si="6"/>
        <v>Bulls #8+</v>
      </c>
      <c r="C93" s="402">
        <f ca="1">'General Info'!L55</f>
        <v>690.0619372850465</v>
      </c>
      <c r="D93" s="403">
        <f>D89*(1-20%)</f>
        <v>2.1033714051436596</v>
      </c>
      <c r="E93" s="404">
        <f ca="1">C93*D93</f>
        <v>1451.4565466634042</v>
      </c>
      <c r="F93" s="402">
        <f ca="1">'General Info'!M55</f>
        <v>690.0619372850465</v>
      </c>
      <c r="G93" s="403">
        <f>G89*(1-20%)</f>
        <v>2.1033714051436596</v>
      </c>
      <c r="H93" s="404">
        <f ca="1">F93*G93</f>
        <v>1451.4565466634042</v>
      </c>
      <c r="I93" s="110"/>
      <c r="J93" s="110"/>
      <c r="K93" s="110"/>
      <c r="L93" s="110"/>
      <c r="M93" s="110"/>
      <c r="N93" s="110"/>
      <c r="O93" s="110"/>
      <c r="P93" s="110"/>
    </row>
    <row r="94" spans="1:16" x14ac:dyDescent="0.35">
      <c r="A94" s="110"/>
      <c r="B94" s="148" t="str">
        <f t="shared" si="6"/>
        <v>Bulls #9</v>
      </c>
      <c r="C94" s="405">
        <f ca="1">'General Info'!L56</f>
        <v>364.12849427882679</v>
      </c>
      <c r="D94" s="406">
        <f t="shared" ref="D94:D96" si="7">D90*(1-20%)</f>
        <v>2.1993876810721305</v>
      </c>
      <c r="E94" s="407">
        <f t="shared" ca="1" si="5"/>
        <v>800.85972464419535</v>
      </c>
      <c r="F94" s="405">
        <f ca="1">'General Info'!M56</f>
        <v>690.0619372850465</v>
      </c>
      <c r="G94" s="406">
        <f t="shared" ref="G94:G96" si="8">G90*(1-20%)</f>
        <v>2.1033714051436596</v>
      </c>
      <c r="H94" s="407">
        <f ca="1">F94*G94</f>
        <v>1451.4565466634042</v>
      </c>
      <c r="I94" s="110"/>
      <c r="J94" s="110"/>
      <c r="K94" s="110"/>
      <c r="L94" s="110"/>
      <c r="M94" s="110"/>
      <c r="N94" s="110"/>
      <c r="O94" s="110"/>
      <c r="P94" s="110"/>
    </row>
    <row r="95" spans="1:16" x14ac:dyDescent="0.35">
      <c r="A95" s="110"/>
      <c r="B95" s="148" t="str">
        <f t="shared" si="6"/>
        <v>Bulls #0</v>
      </c>
      <c r="C95" s="405">
        <f ca="1">'General Info'!L57</f>
        <v>190.99892823352016</v>
      </c>
      <c r="D95" s="406">
        <f t="shared" si="7"/>
        <v>2.1993876810721305</v>
      </c>
      <c r="E95" s="407">
        <f t="shared" ca="1" si="5"/>
        <v>420.08068985478417</v>
      </c>
      <c r="F95" s="405">
        <f ca="1">'General Info'!M57</f>
        <v>364.12849427882679</v>
      </c>
      <c r="G95" s="406">
        <f t="shared" si="8"/>
        <v>2.1993876810721305</v>
      </c>
      <c r="H95" s="407">
        <f t="shared" ca="1" si="4"/>
        <v>800.85972464419535</v>
      </c>
      <c r="I95" s="110"/>
      <c r="J95" s="110"/>
      <c r="K95" s="110"/>
      <c r="L95" s="110"/>
      <c r="M95" s="110"/>
      <c r="N95" s="110"/>
      <c r="O95" s="110"/>
      <c r="P95" s="110"/>
    </row>
    <row r="96" spans="1:16" x14ac:dyDescent="0.35">
      <c r="A96" s="110"/>
      <c r="B96" s="149" t="str">
        <f t="shared" si="6"/>
        <v>Bulls #1</v>
      </c>
      <c r="C96" s="411">
        <f>'General Info'!L58</f>
        <v>0</v>
      </c>
      <c r="D96" s="412">
        <f t="shared" si="7"/>
        <v>0</v>
      </c>
      <c r="E96" s="413">
        <f t="shared" si="5"/>
        <v>0</v>
      </c>
      <c r="F96" s="411">
        <f ca="1">'General Info'!M58</f>
        <v>190.99892823352016</v>
      </c>
      <c r="G96" s="412">
        <f t="shared" si="8"/>
        <v>2.1993876810721305</v>
      </c>
      <c r="H96" s="413">
        <f t="shared" ca="1" si="4"/>
        <v>420.08068985478417</v>
      </c>
      <c r="I96" s="110"/>
      <c r="J96" s="110"/>
      <c r="K96" s="110"/>
      <c r="L96" s="110"/>
      <c r="M96" s="110"/>
      <c r="N96" s="110"/>
      <c r="O96" s="110"/>
      <c r="P96" s="110"/>
    </row>
    <row r="97" spans="1:16" ht="9" customHeight="1" x14ac:dyDescent="0.35">
      <c r="A97" s="110"/>
      <c r="B97" s="115"/>
      <c r="C97" s="110"/>
      <c r="D97" s="110"/>
      <c r="E97" s="110"/>
      <c r="F97" s="110"/>
      <c r="G97" s="110"/>
      <c r="H97" s="110"/>
      <c r="I97" s="110"/>
      <c r="J97" s="110"/>
      <c r="K97" s="110"/>
      <c r="L97" s="110"/>
      <c r="M97" s="110"/>
      <c r="N97" s="110"/>
      <c r="O97" s="110"/>
      <c r="P97" s="110"/>
    </row>
    <row r="98" spans="1:16" hidden="1" x14ac:dyDescent="0.35">
      <c r="A98" s="110"/>
      <c r="B98" s="110"/>
      <c r="C98" s="110"/>
      <c r="D98" s="110"/>
      <c r="E98" s="110"/>
      <c r="F98" s="110"/>
      <c r="G98" s="110"/>
      <c r="H98" s="110"/>
      <c r="I98" s="110"/>
      <c r="J98" s="110"/>
      <c r="K98" s="110"/>
      <c r="L98" s="110"/>
      <c r="M98" s="110"/>
      <c r="N98" s="110"/>
      <c r="O98" s="110"/>
      <c r="P98" s="110"/>
    </row>
    <row r="99" spans="1:16" hidden="1" x14ac:dyDescent="0.35">
      <c r="A99" s="110"/>
      <c r="B99" s="110"/>
      <c r="C99" s="110"/>
      <c r="D99" s="110"/>
      <c r="E99" s="110"/>
      <c r="F99" s="110"/>
      <c r="G99" s="110"/>
      <c r="H99" s="110"/>
      <c r="I99" s="110"/>
      <c r="J99" s="110"/>
      <c r="K99" s="110"/>
      <c r="L99" s="110"/>
      <c r="M99" s="110"/>
      <c r="N99" s="110"/>
      <c r="O99" s="110"/>
      <c r="P99" s="110"/>
    </row>
  </sheetData>
  <sheetProtection algorithmName="SHA-512" hashValue="OGSa1Flp51PlRgwlaiW6EcPqixuphLPwAMTmZNpuPlsk7uNBuM8D89uMGT1n6/uL/UZOcI7tfqW4yPIl80W+RQ==" saltValue="sqw6ZPOvy4YgjSEcoCem6g==" spinCount="100000" sheet="1" objects="1" scenarios="1"/>
  <mergeCells count="16">
    <mergeCell ref="D33:E33"/>
    <mergeCell ref="F33:G33"/>
    <mergeCell ref="D37:E37"/>
    <mergeCell ref="F30:G30"/>
    <mergeCell ref="F31:G31"/>
    <mergeCell ref="F32:G32"/>
    <mergeCell ref="F35:G35"/>
    <mergeCell ref="F34:G34"/>
    <mergeCell ref="F36:G36"/>
    <mergeCell ref="F37:G37"/>
    <mergeCell ref="D30:E30"/>
    <mergeCell ref="D31:E31"/>
    <mergeCell ref="D32:E32"/>
    <mergeCell ref="D35:E35"/>
    <mergeCell ref="D34:E34"/>
    <mergeCell ref="D36:E36"/>
  </mergeCells>
  <conditionalFormatting sqref="O5:O20 C57:F57 C77:F77">
    <cfRule type="cellIs" dxfId="0" priority="1" operator="equal">
      <formula>1</formula>
    </cfRule>
  </conditionalFormatting>
  <pageMargins left="0.7" right="0.7" top="0.75" bottom="0.75" header="0.3" footer="0.3"/>
  <pageSetup paperSize="9" scale="79" orientation="landscape" horizontalDpi="0" verticalDpi="0" r:id="rId1"/>
  <rowBreaks count="2" manualBreakCount="2">
    <brk id="37" max="13" man="1"/>
    <brk id="78" max="13" man="1"/>
  </rowBreaks>
  <colBreaks count="1" manualBreakCount="1">
    <brk id="14"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EB35F66830C844AF0C943EE1B94474" ma:contentTypeVersion="13" ma:contentTypeDescription="Create a new document." ma:contentTypeScope="" ma:versionID="37edb0ec41a97ee0e281a568ec44deb6">
  <xsd:schema xmlns:xsd="http://www.w3.org/2001/XMLSchema" xmlns:xs="http://www.w3.org/2001/XMLSchema" xmlns:p="http://schemas.microsoft.com/office/2006/metadata/properties" xmlns:ns3="da8289d7-0fc9-4a93-b5f7-a560ba3bbda8" xmlns:ns4="e8e1b4f0-ee22-407c-86e4-35893768653d" targetNamespace="http://schemas.microsoft.com/office/2006/metadata/properties" ma:root="true" ma:fieldsID="08fac5ecae836a83d0434c002084e2ed" ns3:_="" ns4:_="">
    <xsd:import namespace="da8289d7-0fc9-4a93-b5f7-a560ba3bbda8"/>
    <xsd:import namespace="e8e1b4f0-ee22-407c-86e4-3589376865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289d7-0fc9-4a93-b5f7-a560ba3bb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e1b4f0-ee22-407c-86e4-35893768653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C7C5B-4152-4CE9-97FF-24C4463A0107}">
  <ds:schemaRefs>
    <ds:schemaRef ds:uri="e8e1b4f0-ee22-407c-86e4-35893768653d"/>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8289d7-0fc9-4a93-b5f7-a560ba3bbda8"/>
    <ds:schemaRef ds:uri="http://www.w3.org/XML/1998/namespace"/>
    <ds:schemaRef ds:uri="http://purl.org/dc/dcmitype/"/>
  </ds:schemaRefs>
</ds:datastoreItem>
</file>

<file path=customXml/itemProps2.xml><?xml version="1.0" encoding="utf-8"?>
<ds:datastoreItem xmlns:ds="http://schemas.openxmlformats.org/officeDocument/2006/customXml" ds:itemID="{A0E1C1D7-5046-40C1-AB1D-9B3094E16CDE}">
  <ds:schemaRefs>
    <ds:schemaRef ds:uri="http://schemas.microsoft.com/sharepoint/v3/contenttype/forms"/>
  </ds:schemaRefs>
</ds:datastoreItem>
</file>

<file path=customXml/itemProps3.xml><?xml version="1.0" encoding="utf-8"?>
<ds:datastoreItem xmlns:ds="http://schemas.openxmlformats.org/officeDocument/2006/customXml" ds:itemID="{F36A36D2-0718-4C34-8EEB-6255BDA2A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8289d7-0fc9-4a93-b5f7-a560ba3bbda8"/>
    <ds:schemaRef ds:uri="e8e1b4f0-ee22-407c-86e4-358937686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Start here!</vt:lpstr>
      <vt:lpstr>General Info</vt:lpstr>
      <vt:lpstr>HerdFlow</vt:lpstr>
      <vt:lpstr>Summary</vt:lpstr>
      <vt:lpstr>HerdFlow!CLASSES</vt:lpstr>
      <vt:lpstr>months</vt:lpstr>
      <vt:lpstr>HerdFlow!Print_Area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Bridie Schultz</cp:lastModifiedBy>
  <cp:lastPrinted>2021-01-21T04:11:35Z</cp:lastPrinted>
  <dcterms:created xsi:type="dcterms:W3CDTF">2020-12-14T09:58:28Z</dcterms:created>
  <dcterms:modified xsi:type="dcterms:W3CDTF">2021-06-23T00:45:49Z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0x01010004EB35F66830C844AF0C943EE1B94474</vt:lpwstr>
  </property>
</Properties>
</file>